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525" windowHeight="11460" tabRatio="799" activeTab="0"/>
  </bookViews>
  <sheets>
    <sheet name="Instructions" sheetId="1" r:id="rId1"/>
    <sheet name="Cover" sheetId="2" r:id="rId2"/>
    <sheet name="Worksheet" sheetId="3" r:id="rId3"/>
    <sheet name="SAE 1" sheetId="4" r:id="rId4"/>
    <sheet name="SAE 2" sheetId="5" r:id="rId5"/>
    <sheet name="SAE 3" sheetId="6" r:id="rId6"/>
    <sheet name="SAE 4" sheetId="7" r:id="rId7"/>
    <sheet name="FFA Leadership 1" sheetId="8" r:id="rId8"/>
    <sheet name="FFA Leadership 2" sheetId="9" r:id="rId9"/>
    <sheet name="Check Sheet" sheetId="10" r:id="rId10"/>
    <sheet name="Sheet2" sheetId="11" r:id="rId11"/>
  </sheets>
  <definedNames>
    <definedName name="Area">'FFA Leadership 1'!$BE$26:$BE$50</definedName>
    <definedName name="Area_A">'FFA Leadership 1'!$BJ$26:$BJ$33</definedName>
    <definedName name="BLANK">""</definedName>
    <definedName name="Chapter">""</definedName>
    <definedName name="Chapter_A">'FFA Leadership 1'!$BI$26:$BI$45</definedName>
    <definedName name="District">'FFA Leadership 1'!$BD$26:$BD$46</definedName>
    <definedName name="District_A">'FFA Leadership 1'!$BK$26:$BK$35</definedName>
    <definedName name="National">'FFA Leadership 1'!$BB$26:$BB$43</definedName>
    <definedName name="National_A">'FFA Leadership 1'!$BM$26:$BM$42</definedName>
    <definedName name="_xlnm.Print_Area" localSheetId="9">'Check Sheet'!$A$3:$Q$58</definedName>
    <definedName name="_xlnm.Print_Area" localSheetId="1">'Cover'!$A$6:$N$56</definedName>
    <definedName name="_xlnm.Print_Area" localSheetId="7">'FFA Leadership 1'!$A$7:$I$42</definedName>
    <definedName name="_xlnm.Print_Area" localSheetId="8">'FFA Leadership 2'!$A$9:$J$44</definedName>
    <definedName name="_xlnm.Print_Area" localSheetId="0">'Instructions'!$A$1:$L$69</definedName>
    <definedName name="_xlnm.Print_Area" localSheetId="3">'SAE 1'!$A$7:$Q$55</definedName>
    <definedName name="_xlnm.Print_Area" localSheetId="4">'SAE 2'!$A$7:$P$52</definedName>
    <definedName name="_xlnm.Print_Area" localSheetId="5">'SAE 3'!$A$9:$F$36</definedName>
    <definedName name="_xlnm.Print_Area" localSheetId="6">'SAE 4'!$B$10:$F$57</definedName>
    <definedName name="_xlnm.Print_Area" localSheetId="2">'Worksheet'!$A$7:$I$58</definedName>
    <definedName name="State">'FFA Leadership 1'!$BC$26:$BC$64</definedName>
    <definedName name="State_A">'FFA Leadership 1'!$BL$26:$BL$59</definedName>
  </definedNames>
  <calcPr fullCalcOnLoad="1"/>
</workbook>
</file>

<file path=xl/sharedStrings.xml><?xml version="1.0" encoding="utf-8"?>
<sst xmlns="http://schemas.openxmlformats.org/spreadsheetml/2006/main" count="2502" uniqueCount="1524">
  <si>
    <t>A.  MAKE  A BACKUP COPY OF THIS FILE!</t>
  </si>
  <si>
    <t>B.  READ THIS PAGE BEFORE YOU BEGIN.</t>
  </si>
  <si>
    <t>C.  READ THE STATE DEGREE HANDBOOK BEFORE YOU BEGIN.</t>
  </si>
  <si>
    <t>D.  USE WHOLE NUMBER WHEN ENTERING DOLLAR AMOUNTS.  NO DECIMALS!</t>
  </si>
  <si>
    <t>COVER</t>
  </si>
  <si>
    <t>CHECKSHEET</t>
  </si>
  <si>
    <t>SUPERVISED AGRICULTURE EXPERIENCE</t>
  </si>
  <si>
    <t>A.  YOU MUST PLACE AN "X" ABOVE YOUR FINAL YEAR OF RECORDS ON THE WORKSHEET!</t>
  </si>
  <si>
    <t xml:space="preserve">     FOR SCOPE AND GROWTH TO BE FIGURED CORRECTLY.</t>
  </si>
  <si>
    <r>
      <t>B.  YOU MUST FIGURE THE SCOPE POINTS IN THE "</t>
    </r>
    <r>
      <rPr>
        <b/>
        <sz val="10"/>
        <rFont val="Arial"/>
        <family val="2"/>
      </rPr>
      <t>Inventory Entering Agricultural</t>
    </r>
  </si>
  <si>
    <t>C.  YOU MUST FIGURE THE SCOPE POINTS FOR EACH YEAR AND ENTER THE VALUE</t>
  </si>
  <si>
    <t xml:space="preserve">     CALCULATE GROWTH.</t>
  </si>
  <si>
    <t xml:space="preserve">    (Remember "Inventory Entering Agricultural Education" is not included in Scope Points.)</t>
  </si>
  <si>
    <t>FFA LEADERSHIP &amp; PARTICIPATION</t>
  </si>
  <si>
    <t>A.  THE CALCULATIONS ARE ONLY AS ACCURATE AS THE INFORMATION ENTERED.</t>
  </si>
  <si>
    <t xml:space="preserve">      IF YOU ENTER SOMETHING IN THE WRONG CATEGORY YOUR SCORE WILL BE WRONG.</t>
  </si>
  <si>
    <t xml:space="preserve">     ERROR THAT COULD OCCUR.  THEREFORE, JUST BECAUSE YOU DO NOT GET AN</t>
  </si>
  <si>
    <t xml:space="preserve">     PAGE CAREFULLY.</t>
  </si>
  <si>
    <t>NO:</t>
  </si>
  <si>
    <t xml:space="preserve">                     MISSOURI FFA ASSOCIATION</t>
  </si>
  <si>
    <t>MO0001</t>
  </si>
  <si>
    <t>Adrian</t>
  </si>
  <si>
    <t xml:space="preserve">                            STATE FFA DEGREE</t>
  </si>
  <si>
    <t>MO0002</t>
  </si>
  <si>
    <t>Advance</t>
  </si>
  <si>
    <t xml:space="preserve">   -READ HANDBOOK INSTRUCTIONS-</t>
  </si>
  <si>
    <t>MO0003</t>
  </si>
  <si>
    <t>Albany</t>
  </si>
  <si>
    <t>MO0004</t>
  </si>
  <si>
    <t>Alton</t>
  </si>
  <si>
    <t>MO0005</t>
  </si>
  <si>
    <t>McDonald Co.</t>
  </si>
  <si>
    <t>MO0006</t>
  </si>
  <si>
    <t>Archie</t>
  </si>
  <si>
    <t>NAME: (As it is to appear on plaque or certificate.)</t>
  </si>
  <si>
    <t>MO0007</t>
  </si>
  <si>
    <t>Seymour</t>
  </si>
  <si>
    <t>MO0008</t>
  </si>
  <si>
    <t>Ash Grove</t>
  </si>
  <si>
    <t>HOME ADDRESS:</t>
  </si>
  <si>
    <t>HOME TELEPHONE:</t>
  </si>
  <si>
    <t>MO0009</t>
  </si>
  <si>
    <t>Ashland</t>
  </si>
  <si>
    <t>MO0010</t>
  </si>
  <si>
    <t>Aurora</t>
  </si>
  <si>
    <t>HOME CITY:</t>
  </si>
  <si>
    <t>HOME ZIP CODE:</t>
  </si>
  <si>
    <t>MO0011</t>
  </si>
  <si>
    <t>Ava</t>
  </si>
  <si>
    <t>MO0012</t>
  </si>
  <si>
    <t>Bakersfield</t>
  </si>
  <si>
    <t>NAME OF PARENTS:</t>
  </si>
  <si>
    <t>MO0013</t>
  </si>
  <si>
    <t>Belle</t>
  </si>
  <si>
    <t>Father:</t>
  </si>
  <si>
    <t>Mother:</t>
  </si>
  <si>
    <t>MO0014</t>
  </si>
  <si>
    <t>Bernie</t>
  </si>
  <si>
    <t>NAME OF HIGH SCHOOL:</t>
  </si>
  <si>
    <t>MO0015</t>
  </si>
  <si>
    <t>Billings</t>
  </si>
  <si>
    <t>AREA COMMITTEE USE ONLY</t>
  </si>
  <si>
    <t>MO0016</t>
  </si>
  <si>
    <t>Mtn.View-Birch Tree</t>
  </si>
  <si>
    <t>CHAPTER ADVISOR:</t>
  </si>
  <si>
    <t>MO0017</t>
  </si>
  <si>
    <t>Bloomfield</t>
  </si>
  <si>
    <t>MO0018</t>
  </si>
  <si>
    <t>Bolivar</t>
  </si>
  <si>
    <t>MO0019</t>
  </si>
  <si>
    <t>Boonville</t>
  </si>
  <si>
    <t>MO0020</t>
  </si>
  <si>
    <t>Bowling Green</t>
  </si>
  <si>
    <t>MO0021</t>
  </si>
  <si>
    <t>Branson</t>
  </si>
  <si>
    <t>Have you filed an income tax return.</t>
  </si>
  <si>
    <t xml:space="preserve"> If Yes, for what years?</t>
  </si>
  <si>
    <t>MO0022</t>
  </si>
  <si>
    <t>Braymer</t>
  </si>
  <si>
    <t>MO0023</t>
  </si>
  <si>
    <t>Bronaugh</t>
  </si>
  <si>
    <t>YES</t>
  </si>
  <si>
    <t>NO</t>
  </si>
  <si>
    <t>MO0024</t>
  </si>
  <si>
    <t>Clark County</t>
  </si>
  <si>
    <t>MO0025</t>
  </si>
  <si>
    <t>Twin Rivers</t>
  </si>
  <si>
    <t>Have you paid personal property tax?</t>
  </si>
  <si>
    <t>MO0026</t>
  </si>
  <si>
    <t>Brunswick</t>
  </si>
  <si>
    <t>MO0027</t>
  </si>
  <si>
    <t>Buffalo</t>
  </si>
  <si>
    <t>MO0028</t>
  </si>
  <si>
    <t>Butler</t>
  </si>
  <si>
    <t>MO0029</t>
  </si>
  <si>
    <t>Cabool</t>
  </si>
  <si>
    <t>MO0030</t>
  </si>
  <si>
    <t>Chamois-Morrison</t>
  </si>
  <si>
    <t>SIGNATURES</t>
  </si>
  <si>
    <t>MO0031</t>
  </si>
  <si>
    <t>California</t>
  </si>
  <si>
    <t>We have examined this application and find the records true, accurate and complete.</t>
  </si>
  <si>
    <t>MO0032</t>
  </si>
  <si>
    <t>Cameron</t>
  </si>
  <si>
    <t>We hereby permit, for publicity purposes, the use of any information included in this application.</t>
  </si>
  <si>
    <t>MO0033</t>
  </si>
  <si>
    <t>Southland</t>
  </si>
  <si>
    <t>MO0034</t>
  </si>
  <si>
    <t>Carl Junction</t>
  </si>
  <si>
    <t>APPLICANT:</t>
  </si>
  <si>
    <t>PARENTS OR GUARDIAN:</t>
  </si>
  <si>
    <t>MO0035</t>
  </si>
  <si>
    <t>MO0036</t>
  </si>
  <si>
    <t>Carthage</t>
  </si>
  <si>
    <t>MO0038</t>
  </si>
  <si>
    <t>Cassville</t>
  </si>
  <si>
    <t>MO0039</t>
  </si>
  <si>
    <t>Louisiana</t>
  </si>
  <si>
    <t>We have examined this application and find it to be a true presentation.</t>
  </si>
  <si>
    <t>MO0040</t>
  </si>
  <si>
    <t>Seneca</t>
  </si>
  <si>
    <t>The candidate meets the minimum requirements for the State FFA Degree and we recommend the degree be awarded.</t>
  </si>
  <si>
    <t>MO0041</t>
  </si>
  <si>
    <t>Centralia</t>
  </si>
  <si>
    <t>MO0042</t>
  </si>
  <si>
    <t>Charleston-Danforth</t>
  </si>
  <si>
    <t>LOCAL FFA CHAPTER PRESIDENT:</t>
  </si>
  <si>
    <t>ADVISOR, LOCAL FFA CHAPTER:</t>
  </si>
  <si>
    <t>MO0043</t>
  </si>
  <si>
    <t>Chillicothe</t>
  </si>
  <si>
    <t>MO0044</t>
  </si>
  <si>
    <t>Clever</t>
  </si>
  <si>
    <t>MO0045</t>
  </si>
  <si>
    <t>MO0046</t>
  </si>
  <si>
    <t>Clopton</t>
  </si>
  <si>
    <t>I hereby certify that this applicant has a satisfactory scholastic record.</t>
  </si>
  <si>
    <t>MO0047</t>
  </si>
  <si>
    <t>Cole Camp</t>
  </si>
  <si>
    <t>SUPERINTENDENT OR PRINCIPAL:</t>
  </si>
  <si>
    <t>MO0049</t>
  </si>
  <si>
    <t>Plattsburg</t>
  </si>
  <si>
    <t>MO0050</t>
  </si>
  <si>
    <t>Conway</t>
  </si>
  <si>
    <t>MO0051</t>
  </si>
  <si>
    <t>Couch</t>
  </si>
  <si>
    <t>MO0053</t>
  </si>
  <si>
    <t>Crane</t>
  </si>
  <si>
    <t>MO0054</t>
  </si>
  <si>
    <t>Dadeville</t>
  </si>
  <si>
    <t>MO0056</t>
  </si>
  <si>
    <t>Delta</t>
  </si>
  <si>
    <t>MO0057</t>
  </si>
  <si>
    <t>Dexter</t>
  </si>
  <si>
    <t>MO0058</t>
  </si>
  <si>
    <t>Diamond</t>
  </si>
  <si>
    <t>MO0059</t>
  </si>
  <si>
    <t>Perryville</t>
  </si>
  <si>
    <t>MO0060</t>
  </si>
  <si>
    <t>Doniphan</t>
  </si>
  <si>
    <t>MO0062</t>
  </si>
  <si>
    <t>East Prairie</t>
  </si>
  <si>
    <t>MO0063</t>
  </si>
  <si>
    <t>Knox County</t>
  </si>
  <si>
    <t>MO0064</t>
  </si>
  <si>
    <t>Eldon</t>
  </si>
  <si>
    <t>MO0065</t>
  </si>
  <si>
    <t>El Dorado Springs</t>
  </si>
  <si>
    <t>MO0066</t>
  </si>
  <si>
    <t>Elsberry</t>
  </si>
  <si>
    <t>MO0068</t>
  </si>
  <si>
    <t>Fairfax</t>
  </si>
  <si>
    <t>MO0069</t>
  </si>
  <si>
    <t>Fair Grove</t>
  </si>
  <si>
    <t>MO0070</t>
  </si>
  <si>
    <t>Fair Play</t>
  </si>
  <si>
    <t>MO0071</t>
  </si>
  <si>
    <t>Farmington</t>
  </si>
  <si>
    <t>MO0072</t>
  </si>
  <si>
    <t>Fatima</t>
  </si>
  <si>
    <t>MO0073</t>
  </si>
  <si>
    <t>Fayette</t>
  </si>
  <si>
    <t>MO0074</t>
  </si>
  <si>
    <t>North County Tech</t>
  </si>
  <si>
    <t>MO0075</t>
  </si>
  <si>
    <t>Forsyth</t>
  </si>
  <si>
    <t>MO0077</t>
  </si>
  <si>
    <t>Fredericktown</t>
  </si>
  <si>
    <t>MO0078</t>
  </si>
  <si>
    <t>Fulton</t>
  </si>
  <si>
    <t>MO0079</t>
  </si>
  <si>
    <t>Galena</t>
  </si>
  <si>
    <t>MO0080</t>
  </si>
  <si>
    <t>Gallatin</t>
  </si>
  <si>
    <t>MO0081</t>
  </si>
  <si>
    <t>Grundy Co. R-5</t>
  </si>
  <si>
    <t>MO0082</t>
  </si>
  <si>
    <t>Gilman City</t>
  </si>
  <si>
    <t>MO0083</t>
  </si>
  <si>
    <t>Glasgow</t>
  </si>
  <si>
    <t>MO0084</t>
  </si>
  <si>
    <t>Golden City</t>
  </si>
  <si>
    <t>MO0085</t>
  </si>
  <si>
    <t>East Buchanan</t>
  </si>
  <si>
    <t>MO0086</t>
  </si>
  <si>
    <t>East Newton</t>
  </si>
  <si>
    <t>MO0087</t>
  </si>
  <si>
    <t>Worth County</t>
  </si>
  <si>
    <t>MO0088</t>
  </si>
  <si>
    <t>Greenfield</t>
  </si>
  <si>
    <t>MO0089</t>
  </si>
  <si>
    <t>Green Ridge</t>
  </si>
  <si>
    <t>MO0090</t>
  </si>
  <si>
    <t>Halfway</t>
  </si>
  <si>
    <t>MO0091</t>
  </si>
  <si>
    <t>Hamilton</t>
  </si>
  <si>
    <t>MO0092</t>
  </si>
  <si>
    <t>Hannibal</t>
  </si>
  <si>
    <t>MO0093</t>
  </si>
  <si>
    <t>Cass Career Center</t>
  </si>
  <si>
    <t>MO0094</t>
  </si>
  <si>
    <t>Hardin Central</t>
  </si>
  <si>
    <t>MO0095</t>
  </si>
  <si>
    <t>Hermann</t>
  </si>
  <si>
    <t>MO0096</t>
  </si>
  <si>
    <t>Columbia</t>
  </si>
  <si>
    <t>MO0097</t>
  </si>
  <si>
    <t>Higginsville</t>
  </si>
  <si>
    <t>MO0098</t>
  </si>
  <si>
    <t>Holden</t>
  </si>
  <si>
    <t>MO0099</t>
  </si>
  <si>
    <t>North Nodaway</t>
  </si>
  <si>
    <t>MO0100</t>
  </si>
  <si>
    <t>Houston</t>
  </si>
  <si>
    <t>MO0101</t>
  </si>
  <si>
    <t>Humansville</t>
  </si>
  <si>
    <t>MO0102</t>
  </si>
  <si>
    <t>Hurley</t>
  </si>
  <si>
    <t>MO0103</t>
  </si>
  <si>
    <t>Holcomb</t>
  </si>
  <si>
    <t>MO0104</t>
  </si>
  <si>
    <t>Jackson</t>
  </si>
  <si>
    <t>MO0105</t>
  </si>
  <si>
    <t>Jamesport</t>
  </si>
  <si>
    <t>MO0106</t>
  </si>
  <si>
    <t>Jamestown</t>
  </si>
  <si>
    <t>MO0107</t>
  </si>
  <si>
    <t>Jasper</t>
  </si>
  <si>
    <t>MO0108</t>
  </si>
  <si>
    <t>Meadow Heights</t>
  </si>
  <si>
    <t>MO0109</t>
  </si>
  <si>
    <t>Kelly-Benton</t>
  </si>
  <si>
    <t>MO0110</t>
  </si>
  <si>
    <t>Keytesville</t>
  </si>
  <si>
    <t>MO0111</t>
  </si>
  <si>
    <t>King City</t>
  </si>
  <si>
    <t>MO0112</t>
  </si>
  <si>
    <t>Kirksville</t>
  </si>
  <si>
    <t>MO0113</t>
  </si>
  <si>
    <t>MO0114</t>
  </si>
  <si>
    <t>Lamar</t>
  </si>
  <si>
    <t>MO0115</t>
  </si>
  <si>
    <t>MO0116</t>
  </si>
  <si>
    <t>Lathrop</t>
  </si>
  <si>
    <t>MO0117</t>
  </si>
  <si>
    <t>Lebanon</t>
  </si>
  <si>
    <t>MO0118</t>
  </si>
  <si>
    <t>Crest Ridge</t>
  </si>
  <si>
    <t>MO0120</t>
  </si>
  <si>
    <t>MO0121</t>
  </si>
  <si>
    <t>Liberal</t>
  </si>
  <si>
    <t>MO0123</t>
  </si>
  <si>
    <t>Licking</t>
  </si>
  <si>
    <t>MO0126</t>
  </si>
  <si>
    <t>Linn</t>
  </si>
  <si>
    <t>MO0127</t>
  </si>
  <si>
    <t>Lockwood</t>
  </si>
  <si>
    <t>MO0128</t>
  </si>
  <si>
    <t>Kansas City East</t>
  </si>
  <si>
    <t>MO0129</t>
  </si>
  <si>
    <t>Lakeland</t>
  </si>
  <si>
    <t>MO0130</t>
  </si>
  <si>
    <t>Macon</t>
  </si>
  <si>
    <t>MO0131</t>
  </si>
  <si>
    <t>Malta Bend</t>
  </si>
  <si>
    <t>MO0132</t>
  </si>
  <si>
    <t>Mansfield</t>
  </si>
  <si>
    <t>MO0133</t>
  </si>
  <si>
    <t>Morrisville</t>
  </si>
  <si>
    <t>MO0134</t>
  </si>
  <si>
    <t>Marionville</t>
  </si>
  <si>
    <t>MO0135</t>
  </si>
  <si>
    <t>Marshall</t>
  </si>
  <si>
    <t>MO0136</t>
  </si>
  <si>
    <t>Marshfield</t>
  </si>
  <si>
    <t>MO0137</t>
  </si>
  <si>
    <t>Monett</t>
  </si>
  <si>
    <t>MO0138</t>
  </si>
  <si>
    <t xml:space="preserve">Northwest Technical </t>
  </si>
  <si>
    <t>MO0139</t>
  </si>
  <si>
    <t>South Callaway</t>
  </si>
  <si>
    <t>MO0140</t>
  </si>
  <si>
    <t>Maysville</t>
  </si>
  <si>
    <t>MO0141</t>
  </si>
  <si>
    <t>Memphis</t>
  </si>
  <si>
    <t>MO0142</t>
  </si>
  <si>
    <t>Mexico</t>
  </si>
  <si>
    <t>MO0143</t>
  </si>
  <si>
    <t>Milan</t>
  </si>
  <si>
    <t>MO0144</t>
  </si>
  <si>
    <t>Miller</t>
  </si>
  <si>
    <t>MO0145</t>
  </si>
  <si>
    <t>Moberly</t>
  </si>
  <si>
    <t>MO0146</t>
  </si>
  <si>
    <t>Brookfield</t>
  </si>
  <si>
    <t>MO0147</t>
  </si>
  <si>
    <t>Monroe City</t>
  </si>
  <si>
    <t>MO0148</t>
  </si>
  <si>
    <t>Montgomery Co.</t>
  </si>
  <si>
    <t>MO0149</t>
  </si>
  <si>
    <t>Mound City</t>
  </si>
  <si>
    <t>MO0150</t>
  </si>
  <si>
    <t>Mountain Grove</t>
  </si>
  <si>
    <t>MO0151</t>
  </si>
  <si>
    <t>Mount Vernon</t>
  </si>
  <si>
    <t>MO0152</t>
  </si>
  <si>
    <t>Neelyville</t>
  </si>
  <si>
    <t>MO0153</t>
  </si>
  <si>
    <t>Nevada</t>
  </si>
  <si>
    <t>MO0155</t>
  </si>
  <si>
    <t>Norborne</t>
  </si>
  <si>
    <t>MO0156</t>
  </si>
  <si>
    <t>North Harrison</t>
  </si>
  <si>
    <t>MO0157</t>
  </si>
  <si>
    <t>North Platte</t>
  </si>
  <si>
    <t>MO0158</t>
  </si>
  <si>
    <t>Northwestern</t>
  </si>
  <si>
    <t>MO0159</t>
  </si>
  <si>
    <t>Odessa</t>
  </si>
  <si>
    <t>MO0160</t>
  </si>
  <si>
    <t>Oran</t>
  </si>
  <si>
    <t>MO0161</t>
  </si>
  <si>
    <t>Orrick</t>
  </si>
  <si>
    <t>MO0162</t>
  </si>
  <si>
    <t>Osceola</t>
  </si>
  <si>
    <t>MO0163</t>
  </si>
  <si>
    <t>Owensville</t>
  </si>
  <si>
    <t>MO0164</t>
  </si>
  <si>
    <t>Ozark</t>
  </si>
  <si>
    <t>MO0165</t>
  </si>
  <si>
    <t>Palmyra</t>
  </si>
  <si>
    <t>MO0166</t>
  </si>
  <si>
    <t>Paris</t>
  </si>
  <si>
    <t>MO0167</t>
  </si>
  <si>
    <t>MO0168</t>
  </si>
  <si>
    <t>Pattonsburg</t>
  </si>
  <si>
    <t>MO0170</t>
  </si>
  <si>
    <t>Koshkonong</t>
  </si>
  <si>
    <t>MO0171</t>
  </si>
  <si>
    <t>Pierce City</t>
  </si>
  <si>
    <t>MO0172</t>
  </si>
  <si>
    <t>Pilot Grove</t>
  </si>
  <si>
    <t>MO0173</t>
  </si>
  <si>
    <t>Pleasant Hill</t>
  </si>
  <si>
    <t>MO0174</t>
  </si>
  <si>
    <t>Pleasant Hope</t>
  </si>
  <si>
    <t>MO0175</t>
  </si>
  <si>
    <t>Polo</t>
  </si>
  <si>
    <t>MO0176</t>
  </si>
  <si>
    <t>Sparta</t>
  </si>
  <si>
    <t>MO0177</t>
  </si>
  <si>
    <t>Princeton</t>
  </si>
  <si>
    <t>MO0178</t>
  </si>
  <si>
    <t>Purdy</t>
  </si>
  <si>
    <t>MO0179</t>
  </si>
  <si>
    <t>Puxico</t>
  </si>
  <si>
    <t>MO0180</t>
  </si>
  <si>
    <t>Walnut Grove</t>
  </si>
  <si>
    <t>MO0181</t>
  </si>
  <si>
    <t>Mark Twain</t>
  </si>
  <si>
    <t>MO0182</t>
  </si>
  <si>
    <t>Republic</t>
  </si>
  <si>
    <t>MO0183</t>
  </si>
  <si>
    <t>Rich Hill</t>
  </si>
  <si>
    <t>MO0184</t>
  </si>
  <si>
    <t>Richland</t>
  </si>
  <si>
    <t>MO0185</t>
  </si>
  <si>
    <t>Richland (Essex)</t>
  </si>
  <si>
    <t>MO0186</t>
  </si>
  <si>
    <t>Richmond</t>
  </si>
  <si>
    <t>MO0189</t>
  </si>
  <si>
    <t>Rock Port</t>
  </si>
  <si>
    <t>MO0190</t>
  </si>
  <si>
    <t>Logan-Rogersville</t>
  </si>
  <si>
    <t>MO0191</t>
  </si>
  <si>
    <t>Rolla</t>
  </si>
  <si>
    <t>MO0192</t>
  </si>
  <si>
    <t>North Andrew</t>
  </si>
  <si>
    <t>MO0193</t>
  </si>
  <si>
    <t>Russellville</t>
  </si>
  <si>
    <t>MO0194</t>
  </si>
  <si>
    <t>Ste. Genevieve</t>
  </si>
  <si>
    <t>MO0195</t>
  </si>
  <si>
    <t>St. James</t>
  </si>
  <si>
    <t>MO0196</t>
  </si>
  <si>
    <t>Salem</t>
  </si>
  <si>
    <t>MO0197</t>
  </si>
  <si>
    <t>Salisbury</t>
  </si>
  <si>
    <t>MO0198</t>
  </si>
  <si>
    <t>Sarcoxie</t>
  </si>
  <si>
    <t>MO0199</t>
  </si>
  <si>
    <t>Savannah</t>
  </si>
  <si>
    <t>MO0200</t>
  </si>
  <si>
    <t>Newtown-Harris</t>
  </si>
  <si>
    <t>MO0201</t>
  </si>
  <si>
    <t>Union Star</t>
  </si>
  <si>
    <t>MO0202</t>
  </si>
  <si>
    <t>South Shelby</t>
  </si>
  <si>
    <t>MO0203</t>
  </si>
  <si>
    <t>Silex</t>
  </si>
  <si>
    <t>MO0204</t>
  </si>
  <si>
    <t>Skyline</t>
  </si>
  <si>
    <t>MO0205</t>
  </si>
  <si>
    <t>Slater</t>
  </si>
  <si>
    <t>MO0206</t>
  </si>
  <si>
    <t>Smithville</t>
  </si>
  <si>
    <t>MO0207</t>
  </si>
  <si>
    <t>Exeter</t>
  </si>
  <si>
    <t>MO0208</t>
  </si>
  <si>
    <t>MO0209</t>
  </si>
  <si>
    <t>Stanberry</t>
  </si>
  <si>
    <t>MO0211</t>
  </si>
  <si>
    <t>Stockton</t>
  </si>
  <si>
    <t>MO0212</t>
  </si>
  <si>
    <t>Sullivan</t>
  </si>
  <si>
    <t>MO0213</t>
  </si>
  <si>
    <t>Summersville</t>
  </si>
  <si>
    <t>MO0214</t>
  </si>
  <si>
    <t>Sweet Springs</t>
  </si>
  <si>
    <t>MO0215</t>
  </si>
  <si>
    <t>Tarkio</t>
  </si>
  <si>
    <t>MO0216</t>
  </si>
  <si>
    <t>Thayer</t>
  </si>
  <si>
    <t>MO0217</t>
  </si>
  <si>
    <t>Tina Avalon</t>
  </si>
  <si>
    <t>MO0218</t>
  </si>
  <si>
    <t>Tipton</t>
  </si>
  <si>
    <t>MO0219</t>
  </si>
  <si>
    <t>Trenton</t>
  </si>
  <si>
    <t>MO0220</t>
  </si>
  <si>
    <t>MO0221</t>
  </si>
  <si>
    <t>Troy</t>
  </si>
  <si>
    <t>MO0222</t>
  </si>
  <si>
    <t>Union</t>
  </si>
  <si>
    <t>MO0223</t>
  </si>
  <si>
    <t>Putnam County</t>
  </si>
  <si>
    <t>MO0224</t>
  </si>
  <si>
    <t>Van-Far</t>
  </si>
  <si>
    <t>MO0225</t>
  </si>
  <si>
    <t>Versailles</t>
  </si>
  <si>
    <t>MO0226</t>
  </si>
  <si>
    <t>Vienna</t>
  </si>
  <si>
    <t>MO0228</t>
  </si>
  <si>
    <t>Warrenton</t>
  </si>
  <si>
    <t>MO0229</t>
  </si>
  <si>
    <t>Washington</t>
  </si>
  <si>
    <t>MO0231</t>
  </si>
  <si>
    <t>Wellington-Napoleon</t>
  </si>
  <si>
    <t>MO0232</t>
  </si>
  <si>
    <t>Wellsville</t>
  </si>
  <si>
    <t>MO0233</t>
  </si>
  <si>
    <t>West Plains</t>
  </si>
  <si>
    <t>MO0234</t>
  </si>
  <si>
    <t>Westran</t>
  </si>
  <si>
    <t>MO0235</t>
  </si>
  <si>
    <t>Wheaton</t>
  </si>
  <si>
    <t>MO0236</t>
  </si>
  <si>
    <t>Willard</t>
  </si>
  <si>
    <t>MO0237</t>
  </si>
  <si>
    <t>Willow Springs</t>
  </si>
  <si>
    <t>MO0238</t>
  </si>
  <si>
    <t>Windsor</t>
  </si>
  <si>
    <t>MO0239</t>
  </si>
  <si>
    <t>Woodland</t>
  </si>
  <si>
    <t>MO0240</t>
  </si>
  <si>
    <t>Wright City</t>
  </si>
  <si>
    <t>MO0241</t>
  </si>
  <si>
    <t>Gainesville</t>
  </si>
  <si>
    <t>MO0242</t>
  </si>
  <si>
    <t>MO0243</t>
  </si>
  <si>
    <t>Neosho</t>
  </si>
  <si>
    <t>MO0244</t>
  </si>
  <si>
    <t>North Callaway</t>
  </si>
  <si>
    <t>MO0245</t>
  </si>
  <si>
    <t>North Shelby</t>
  </si>
  <si>
    <t>MO0246</t>
  </si>
  <si>
    <t>Nodaway Holt</t>
  </si>
  <si>
    <t>MO0247</t>
  </si>
  <si>
    <t>Naylor</t>
  </si>
  <si>
    <t>MO0248</t>
  </si>
  <si>
    <t>North Daviess</t>
  </si>
  <si>
    <t>MO0249</t>
  </si>
  <si>
    <t>Campbell</t>
  </si>
  <si>
    <t>MO0250</t>
  </si>
  <si>
    <t>St. Clair</t>
  </si>
  <si>
    <t>MO0251</t>
  </si>
  <si>
    <t>Linn County</t>
  </si>
  <si>
    <t>MO0252</t>
  </si>
  <si>
    <t>Dora</t>
  </si>
  <si>
    <t>MO0253</t>
  </si>
  <si>
    <t>Hartville</t>
  </si>
  <si>
    <t>MO0254</t>
  </si>
  <si>
    <t>MO0255</t>
  </si>
  <si>
    <t>South County Tech</t>
  </si>
  <si>
    <t>MO0258</t>
  </si>
  <si>
    <t>Southwest at Washburn</t>
  </si>
  <si>
    <t>MO0259</t>
  </si>
  <si>
    <t>Cape Girardeau AVTS</t>
  </si>
  <si>
    <t>MO0260</t>
  </si>
  <si>
    <t>Appleton City</t>
  </si>
  <si>
    <t>MO0261</t>
  </si>
  <si>
    <t>New Bloomfield</t>
  </si>
  <si>
    <t>MO0263</t>
  </si>
  <si>
    <t>Steelville</t>
  </si>
  <si>
    <t>MO0264</t>
  </si>
  <si>
    <t>Verona</t>
  </si>
  <si>
    <t>MO0266</t>
  </si>
  <si>
    <t>Everton</t>
  </si>
  <si>
    <t>MO0267</t>
  </si>
  <si>
    <t>Wyconda</t>
  </si>
  <si>
    <t>MO0268</t>
  </si>
  <si>
    <t>South Holt</t>
  </si>
  <si>
    <t>MO0269</t>
  </si>
  <si>
    <t>DeKalb</t>
  </si>
  <si>
    <t>MO0270</t>
  </si>
  <si>
    <t>Lutie</t>
  </si>
  <si>
    <t>MO0271</t>
  </si>
  <si>
    <t>Strafford</t>
  </si>
  <si>
    <t>MO0272</t>
  </si>
  <si>
    <t>Wheatland</t>
  </si>
  <si>
    <t>MO0273</t>
  </si>
  <si>
    <t>Meadville</t>
  </si>
  <si>
    <t>MO0274</t>
  </si>
  <si>
    <t>Stewartsville</t>
  </si>
  <si>
    <t>MO0275</t>
  </si>
  <si>
    <t>Marion Co</t>
  </si>
  <si>
    <t>MO0276</t>
  </si>
  <si>
    <t>Fordland</t>
  </si>
  <si>
    <t>MO0277</t>
  </si>
  <si>
    <t>Bradleyville</t>
  </si>
  <si>
    <t>MO0278</t>
  </si>
  <si>
    <t>MO0279</t>
  </si>
  <si>
    <t>St Joseph (Hillyard)</t>
  </si>
  <si>
    <t>MO0280</t>
  </si>
  <si>
    <t>MO0281</t>
  </si>
  <si>
    <t>Plato</t>
  </si>
  <si>
    <t>MO0282</t>
  </si>
  <si>
    <t>Santa Fe (Alma)</t>
  </si>
  <si>
    <t>MO0283</t>
  </si>
  <si>
    <t>Concordia</t>
  </si>
  <si>
    <t>MO0284</t>
  </si>
  <si>
    <t>Bucklin</t>
  </si>
  <si>
    <t>MO0285</t>
  </si>
  <si>
    <t>Fort Osage</t>
  </si>
  <si>
    <t>MO0288</t>
  </si>
  <si>
    <t>Gateway</t>
  </si>
  <si>
    <t>MO0290</t>
  </si>
  <si>
    <t>Atlanta</t>
  </si>
  <si>
    <t>MO0291</t>
  </si>
  <si>
    <t>Green City</t>
  </si>
  <si>
    <t>MO0292</t>
  </si>
  <si>
    <t>Cainsville</t>
  </si>
  <si>
    <t>MO0293</t>
  </si>
  <si>
    <t>Chadwick</t>
  </si>
  <si>
    <t>MO0294</t>
  </si>
  <si>
    <t>MO0295</t>
  </si>
  <si>
    <t>Sheldon</t>
  </si>
  <si>
    <t>MO0296</t>
  </si>
  <si>
    <t>MO0297</t>
  </si>
  <si>
    <t>MO0299</t>
  </si>
  <si>
    <t>Macks Creek</t>
  </si>
  <si>
    <t>MO0300</t>
  </si>
  <si>
    <t>Hallsville</t>
  </si>
  <si>
    <t>MO0301</t>
  </si>
  <si>
    <t>Local</t>
  </si>
  <si>
    <t>Area</t>
  </si>
  <si>
    <t>USE ARROW TO THE RIGHT FOR A LIST FROM WHICH TO SELECT!</t>
  </si>
  <si>
    <t xml:space="preserve">Name:  </t>
  </si>
  <si>
    <t xml:space="preserve">School: </t>
  </si>
  <si>
    <t xml:space="preserve">                                                          WORKSHEET</t>
  </si>
  <si>
    <t xml:space="preserve"> </t>
  </si>
  <si>
    <t>You MUST place an "X" in the cell above your last year of records!</t>
  </si>
  <si>
    <t>OWNERSHIP</t>
  </si>
  <si>
    <t>YEAR 1</t>
  </si>
  <si>
    <t>YEAR 2</t>
  </si>
  <si>
    <t>YEAR 3</t>
  </si>
  <si>
    <t>YEAR 4</t>
  </si>
  <si>
    <t>TOTALS</t>
  </si>
  <si>
    <t>(Form 5, Line A)</t>
  </si>
  <si>
    <t xml:space="preserve"> 2. Total Ownership Expenditures</t>
  </si>
  <si>
    <t xml:space="preserve"> 3. Gross Profit/Loss</t>
  </si>
  <si>
    <t>(Form 11, Line 1- Line 2)</t>
  </si>
  <si>
    <t xml:space="preserve"> 4. Inventory Change (+/-)</t>
  </si>
  <si>
    <t xml:space="preserve"> 5. Value of Home Used Products</t>
  </si>
  <si>
    <t>(Form 11, Line 3+4+5)</t>
  </si>
  <si>
    <t xml:space="preserve">    (Return to labor, management &amp; equity)</t>
  </si>
  <si>
    <t/>
  </si>
  <si>
    <t>PLACEMENT</t>
  </si>
  <si>
    <t>(From 5, Line B)</t>
  </si>
  <si>
    <t xml:space="preserve"> 10. Total Placement Expenses</t>
  </si>
  <si>
    <t>(Form 5, Line G)</t>
  </si>
  <si>
    <t>(Form 11, Line 9 - Line 10)</t>
  </si>
  <si>
    <t>FINANCIAL BALANCE SCHEDULE</t>
  </si>
  <si>
    <t>MISSING</t>
  </si>
  <si>
    <t>X ABOVE</t>
  </si>
  <si>
    <t>(Form 11, Line 15 + 16)</t>
  </si>
  <si>
    <t xml:space="preserve">  *Income Other Sources (Explain):</t>
  </si>
  <si>
    <t xml:space="preserve">X - Placed in the Last Year Does not Match Income, Reciepts , Net Worth or Exchange Labor!  </t>
  </si>
  <si>
    <t>SUPERVISED AGRICULTURAL EXPERIENCE</t>
  </si>
  <si>
    <t>No.</t>
  </si>
  <si>
    <t xml:space="preserve"> Year 1</t>
  </si>
  <si>
    <t>Year 2</t>
  </si>
  <si>
    <t>Year 3</t>
  </si>
  <si>
    <t>Year 4</t>
  </si>
  <si>
    <t>Table A.  Program Summary (600 points)</t>
  </si>
  <si>
    <t>(NOT APPLICABLE)</t>
  </si>
  <si>
    <t>Local Use</t>
  </si>
  <si>
    <t>STATE USE ONLY</t>
  </si>
  <si>
    <t>AREA</t>
  </si>
  <si>
    <t>ADVISOR</t>
  </si>
  <si>
    <t>Application Points</t>
  </si>
  <si>
    <t>MAX</t>
  </si>
  <si>
    <t>STATE</t>
  </si>
  <si>
    <t>2 Yrs</t>
  </si>
  <si>
    <t>(Description and Scope)</t>
  </si>
  <si>
    <t>SCORE</t>
  </si>
  <si>
    <t>3 Yrs</t>
  </si>
  <si>
    <t>4 Yrs</t>
  </si>
  <si>
    <t>SAEP Earnings</t>
  </si>
  <si>
    <t>(LIST OWNERSHIP ENTERPRISES ONLY)</t>
  </si>
  <si>
    <t>TOTAL</t>
  </si>
  <si>
    <t>Exceeds # of Years</t>
  </si>
  <si>
    <t>LU</t>
  </si>
  <si>
    <t>YEAR</t>
  </si>
  <si>
    <t>HOURS</t>
  </si>
  <si>
    <t>Error</t>
  </si>
  <si>
    <t xml:space="preserve"> Exceeds</t>
  </si>
  <si>
    <t>or Worksheet</t>
  </si>
  <si>
    <t>Hrs - Item 20</t>
  </si>
  <si>
    <t>2000 hrs/yr</t>
  </si>
  <si>
    <t>Exchange Labor (Form 12)</t>
  </si>
  <si>
    <t>DOLLARS</t>
  </si>
  <si>
    <t>END</t>
  </si>
  <si>
    <t>SAE Earnings Used to Calulate Gain in Net Worth!</t>
  </si>
  <si>
    <t>II.  FFA LEADERSHIP &amp; PARTICIPATION</t>
  </si>
  <si>
    <t xml:space="preserve">    (400 Points Maximum) - Limit of One Entry per Line</t>
  </si>
  <si>
    <t xml:space="preserve"> C.  FFA Office Held: </t>
  </si>
  <si>
    <t>(100 Points)</t>
  </si>
  <si>
    <t>ER</t>
  </si>
  <si>
    <t>DOUBLE X or EXCEEDS CAPS of TABLES</t>
  </si>
  <si>
    <t xml:space="preserve">  </t>
  </si>
  <si>
    <t>400 POINTS MAXIMUM</t>
  </si>
  <si>
    <r>
      <t xml:space="preserve">(Place one </t>
    </r>
    <r>
      <rPr>
        <b/>
        <sz val="12"/>
        <color indexed="18"/>
        <rFont val="Arial"/>
        <family val="2"/>
      </rPr>
      <t>"</t>
    </r>
    <r>
      <rPr>
        <b/>
        <sz val="12"/>
        <color indexed="10"/>
        <rFont val="Arial"/>
        <family val="2"/>
      </rPr>
      <t>X"</t>
    </r>
    <r>
      <rPr>
        <b/>
        <sz val="10"/>
        <color indexed="18"/>
        <rFont val="Arial"/>
        <family val="2"/>
      </rPr>
      <t xml:space="preserve"> per line under CHAP, AREA, DIST, STATE, NAT'L)</t>
    </r>
  </si>
  <si>
    <t>Points Exceed the Caps)</t>
  </si>
  <si>
    <t>In Table A, B, C, D, E or F.</t>
  </si>
  <si>
    <t>AREA FFA OFFICER</t>
  </si>
  <si>
    <t>d5</t>
  </si>
  <si>
    <t>CHAPTER PRESIDENT</t>
  </si>
  <si>
    <t xml:space="preserve"> A.  Proficiency and Other Awards: </t>
  </si>
  <si>
    <t>c15</t>
  </si>
  <si>
    <t>CHAPTER 1ST VICE PRESIDENT</t>
  </si>
  <si>
    <t xml:space="preserve">       (75 Points)</t>
  </si>
  <si>
    <t>l3</t>
  </si>
  <si>
    <t>CHAPTER 2ND VICE PRESIDENT</t>
  </si>
  <si>
    <t>AWARD</t>
  </si>
  <si>
    <t>CHAP</t>
  </si>
  <si>
    <t>DIST</t>
  </si>
  <si>
    <t>NAT'L</t>
  </si>
  <si>
    <t>l9</t>
  </si>
  <si>
    <t>CHAPTER VICE PRESIDENT</t>
  </si>
  <si>
    <t xml:space="preserve"> D.  Committees in FFA:  (40 Points)</t>
  </si>
  <si>
    <t>CHECK</t>
  </si>
  <si>
    <t>MISSING YEAR or OFFICE in Table C!</t>
  </si>
  <si>
    <t>o17</t>
  </si>
  <si>
    <t>CHAPTER SECRETARY</t>
  </si>
  <si>
    <t>ONE</t>
  </si>
  <si>
    <t>o27</t>
  </si>
  <si>
    <t>CHAPTER TREASURER</t>
  </si>
  <si>
    <t xml:space="preserve">  ( You Must Figure &amp; put Points in CO Box!)</t>
  </si>
  <si>
    <t>COMMITTEE</t>
  </si>
  <si>
    <t>MEM</t>
  </si>
  <si>
    <t>CH</t>
  </si>
  <si>
    <t>CHAPTER REPORTER</t>
  </si>
  <si>
    <t>CHAPTER SENTINEL</t>
  </si>
  <si>
    <t>CHAPTER PARLIAMENTARIAN</t>
  </si>
  <si>
    <t>CHAPTER CHAPLAIN</t>
  </si>
  <si>
    <t>CHAPTER HISTORIAN</t>
  </si>
  <si>
    <t xml:space="preserve"> B.  Other FFA Activities:  (90 Points)</t>
  </si>
  <si>
    <t>CO OR ASSISTANT CHAPTER PRESIDENT</t>
  </si>
  <si>
    <t>CO OR ASSISTANT CHAPTER 1ST VICE PRESIDENT</t>
  </si>
  <si>
    <t>ACTIVITY</t>
  </si>
  <si>
    <t>ERR</t>
  </si>
  <si>
    <t>CO OR ASSISTANT CHAPTER 2ND VICE PRESIDENT</t>
  </si>
  <si>
    <t>CO OR ASSISTANT CHAPTER VICE PRESIDENT</t>
  </si>
  <si>
    <t xml:space="preserve">    (You Must Figure &amp; put Points in CO Box!)</t>
  </si>
  <si>
    <t>TEAM OR INDIVIDUAL</t>
  </si>
  <si>
    <t>MISSING YEAR, Team or Individual, X, or Two X's in a ROW!</t>
  </si>
  <si>
    <t>CO OR ASSISTANT CHAPTER SECRETARY</t>
  </si>
  <si>
    <t>CO OR ASSISTANT CHAPTER TREASURER</t>
  </si>
  <si>
    <t>CO OR ASSISTANT CHAPTER REPORTER</t>
  </si>
  <si>
    <t>MISSING YEAR, AWARD or "X", or two "X's in Row - TABLE A!</t>
  </si>
  <si>
    <t>CO OR ASSISTANT CHAPTER SENTINEL</t>
  </si>
  <si>
    <t>CO OR ASSISTANT CHAPTER PARLIAMENTARIAN</t>
  </si>
  <si>
    <t>CO OR ASSISTANT CHAPTER CHAPLAIN</t>
  </si>
  <si>
    <t>CO OR ASSISTANT CHAPTER HISTORIAN</t>
  </si>
  <si>
    <t>(20 Points)</t>
  </si>
  <si>
    <t>DATE OR ACTIVITY MISSING - TABLE F</t>
  </si>
  <si>
    <t>MO0052</t>
  </si>
  <si>
    <t>Craig</t>
  </si>
  <si>
    <t>E.  DO NOT CUT, COPY, or PASTE CELLS for ANY REASON!</t>
  </si>
  <si>
    <t>MO0310</t>
  </si>
  <si>
    <t>Sherwood</t>
  </si>
  <si>
    <t>MO0304</t>
  </si>
  <si>
    <t>MO0313</t>
  </si>
  <si>
    <t>Norwood</t>
  </si>
  <si>
    <t>MO0312</t>
  </si>
  <si>
    <t>MO0306</t>
  </si>
  <si>
    <t>MO0309</t>
  </si>
  <si>
    <t>Bourbon</t>
  </si>
  <si>
    <t>MO0302</t>
  </si>
  <si>
    <t>Madison</t>
  </si>
  <si>
    <t>MO0308</t>
  </si>
  <si>
    <t>Poplar Bluff</t>
  </si>
  <si>
    <t>MO0303</t>
  </si>
  <si>
    <t>Potosi</t>
  </si>
  <si>
    <t>MO0307</t>
  </si>
  <si>
    <t>MO0311</t>
  </si>
  <si>
    <t>Waynesville</t>
  </si>
  <si>
    <t>Winfield</t>
  </si>
  <si>
    <t>MO0305</t>
  </si>
  <si>
    <t>Gain in NW</t>
  </si>
  <si>
    <t>Miami</t>
  </si>
  <si>
    <t>Revere - Discontinued</t>
  </si>
  <si>
    <t>ERROR - Wrong Number</t>
  </si>
  <si>
    <t>FFA CHAPTER NUMBER:  (i.e. MO # # # #)</t>
  </si>
  <si>
    <t xml:space="preserve">  ** Note: Exchange Labor Expense cannot exceed Total Ownership Expenditures on Line 2 of this page.</t>
  </si>
  <si>
    <t>AGRIBUSINESS</t>
  </si>
  <si>
    <t>APPLYING IN:</t>
  </si>
  <si>
    <t xml:space="preserve">SELECT FROM LIST </t>
  </si>
  <si>
    <t>FFA CHAPTER NAME</t>
  </si>
  <si>
    <t xml:space="preserve">     ERROR MESSAGE DOES NOT MEAN AN ERROR MAY NOT BE PRESENT.  CHECK THIS</t>
  </si>
  <si>
    <t>Audrain County R-VI</t>
  </si>
  <si>
    <t>Eugene</t>
  </si>
  <si>
    <t>Mid Buchanan</t>
  </si>
  <si>
    <t>Joplin</t>
  </si>
  <si>
    <t>Lewis County C-I</t>
  </si>
  <si>
    <t>Sikeston</t>
  </si>
  <si>
    <t>MO####</t>
  </si>
  <si>
    <t>Nichols Career Center</t>
  </si>
  <si>
    <t>Adair Co. R-I</t>
  </si>
  <si>
    <t>Pemiscot Co. Vocationl School</t>
  </si>
  <si>
    <t>Winston</t>
  </si>
  <si>
    <t>MO0314</t>
  </si>
  <si>
    <t>Knob Noster</t>
  </si>
  <si>
    <t>MO0315</t>
  </si>
  <si>
    <t>Otterville</t>
  </si>
  <si>
    <t>MO0316</t>
  </si>
  <si>
    <t>FFA Membership Number (See FFA Roster)</t>
  </si>
  <si>
    <t>F.  Major Activities, Awards &amp; Leadership Outside FFA</t>
  </si>
  <si>
    <t>Lake CTC</t>
  </si>
  <si>
    <t xml:space="preserve"> SELECT FROM LIST</t>
  </si>
  <si>
    <t>SELECT</t>
  </si>
  <si>
    <t>Leeton</t>
  </si>
  <si>
    <t>MO0323</t>
  </si>
  <si>
    <t>Stoutland</t>
  </si>
  <si>
    <t>MO0324</t>
  </si>
  <si>
    <t>West Nodaway</t>
  </si>
  <si>
    <t>MO0325</t>
  </si>
  <si>
    <t>Crocker</t>
  </si>
  <si>
    <t>MO0317</t>
  </si>
  <si>
    <t>MO0319</t>
  </si>
  <si>
    <t>Senath-Hornersville</t>
  </si>
  <si>
    <t>MO0318</t>
  </si>
  <si>
    <t>Lone Jack</t>
  </si>
  <si>
    <t>MO0320</t>
  </si>
  <si>
    <t>Northeast Nodaway</t>
  </si>
  <si>
    <t>MO0322</t>
  </si>
  <si>
    <t>South Nodaway</t>
  </si>
  <si>
    <t>MO0321</t>
  </si>
  <si>
    <t>Carrollton ACC</t>
  </si>
  <si>
    <t>Clinton ATS</t>
  </si>
  <si>
    <t>Macon Co R-IV (New Cambria)</t>
  </si>
  <si>
    <t>Northeast Vernon County</t>
  </si>
  <si>
    <t>Schuyler R-I</t>
  </si>
  <si>
    <t>Z - END</t>
  </si>
  <si>
    <t>CAPS OFF</t>
  </si>
  <si>
    <t>State Use</t>
  </si>
  <si>
    <t>Area Use</t>
  </si>
  <si>
    <t xml:space="preserve">    (You Must Figure &amp; put Points in Caps Off Box!)</t>
  </si>
  <si>
    <t>(You Must Figure &amp; put Points in Caps Off Box!)</t>
  </si>
  <si>
    <t xml:space="preserve"> SELECT</t>
  </si>
  <si>
    <t>Caps Off</t>
  </si>
  <si>
    <t>MISSING YEAR, Team or Individual, X, or Two X's in a ROW on Table E!</t>
  </si>
  <si>
    <t>II.  FFA LEADERSHIP &amp; PARTICIPATION (Part 2)</t>
  </si>
  <si>
    <t>MISSING YEAR, COMMITTEE OR TWO X'S - Table D!</t>
  </si>
  <si>
    <t>MISSING YEAR, ACTIVITY or "X", or two "X's in Row - TABLE B!</t>
  </si>
  <si>
    <t>AREA SCORE</t>
  </si>
  <si>
    <t xml:space="preserve"> YEAR 1 - DESCRIPTION</t>
  </si>
  <si>
    <t>SCOPE (In Scorable Units - SEE Handbook)</t>
  </si>
  <si>
    <t xml:space="preserve"> YEAR 2 - DESCRIPTION</t>
  </si>
  <si>
    <t xml:space="preserve"> YEAR 3 - DESCRIPTION</t>
  </si>
  <si>
    <t xml:space="preserve"> YEAR 4 - DESCRIPTION</t>
  </si>
  <si>
    <t>SCOPE</t>
  </si>
  <si>
    <t>GROWTH</t>
  </si>
  <si>
    <t>SAEP EARNINGS</t>
  </si>
  <si>
    <t>GAIN IN NEW WORTH</t>
  </si>
  <si>
    <t>LEADERSHIP</t>
  </si>
  <si>
    <t xml:space="preserve">State Committee Score </t>
  </si>
  <si>
    <t>LOCAL USE</t>
  </si>
  <si>
    <t>Scope this page</t>
  </si>
  <si>
    <t># of X's</t>
  </si>
  <si>
    <t>Scope Score for this Page</t>
  </si>
  <si>
    <t>Use</t>
  </si>
  <si>
    <t>Score</t>
  </si>
  <si>
    <t>SUPERVISED AGRICULTURAL EXPERIENCE (Part 2)</t>
  </si>
  <si>
    <t>SAE</t>
  </si>
  <si>
    <t>PLCMT</t>
  </si>
  <si>
    <t>DL</t>
  </si>
  <si>
    <t>EXCH</t>
  </si>
  <si>
    <t>SAE Earninggs From Page 2</t>
  </si>
  <si>
    <r>
      <t xml:space="preserve">      </t>
    </r>
    <r>
      <rPr>
        <b/>
        <sz val="10"/>
        <rFont val="Arial"/>
        <family val="2"/>
      </rPr>
      <t xml:space="preserve">Education" </t>
    </r>
    <r>
      <rPr>
        <sz val="10"/>
        <rFont val="Arial"/>
        <family val="2"/>
      </rPr>
      <t>AND ENTER THE VALUE IN THE BOX LABELED "Local Use".</t>
    </r>
  </si>
  <si>
    <t xml:space="preserve">     FOR EACH YEAR IN THE BOX LABELED LOCAL USE.  IT WILL THEN ADD YOUR SCOPE POINTS and</t>
  </si>
  <si>
    <t xml:space="preserve"> Agronomy - District &amp;/or State CDE Participant</t>
  </si>
  <si>
    <t xml:space="preserve"> Ag Mechanics – District &amp;/or State CDE Participant</t>
  </si>
  <si>
    <t xml:space="preserve"> Ag Sales – District &amp;/or State CDE Participant</t>
  </si>
  <si>
    <t xml:space="preserve"> Area Farm Tour</t>
  </si>
  <si>
    <t xml:space="preserve"> Area/District Creed Speaking Participant</t>
  </si>
  <si>
    <t xml:space="preserve"> Area/District Extemporaneous Public Speaking Participant</t>
  </si>
  <si>
    <t xml:space="preserve"> Area/District FFA Knowledge CDE</t>
  </si>
  <si>
    <t xml:space="preserve"> Area/District Parliamentary Procedure CDE</t>
  </si>
  <si>
    <t xml:space="preserve"> Area/District Prepared Public Speaking Participant  - Division I</t>
  </si>
  <si>
    <t xml:space="preserve"> Area/District Prepared Public Speaking Participant  - Division II</t>
  </si>
  <si>
    <t xml:space="preserve"> Area/District Prepared Public Speaking Participant  - Advanced</t>
  </si>
  <si>
    <t xml:space="preserve"> Area/State Reporter’s Scrapbook CDE</t>
  </si>
  <si>
    <t xml:space="preserve"> Area/State Treasurer’s Book CDE</t>
  </si>
  <si>
    <t xml:space="preserve"> Area/State Record book CDE</t>
  </si>
  <si>
    <t xml:space="preserve"> Attended Area Chapter Degree Initiation</t>
  </si>
  <si>
    <t xml:space="preserve"> Attended Area FFA Banquet</t>
  </si>
  <si>
    <t xml:space="preserve"> Attended Area Greenhand Initiation</t>
  </si>
  <si>
    <t xml:space="preserve"> Attended Area Leadership Conference</t>
  </si>
  <si>
    <t xml:space="preserve"> Attended Greenhand Motivational Conference on area level</t>
  </si>
  <si>
    <t xml:space="preserve"> Attended Governor’s Conference on Agriculture</t>
  </si>
  <si>
    <t xml:space="preserve"> Attended National FFA Convention</t>
  </si>
  <si>
    <t xml:space="preserve"> Attended Officer Training sponsored by Area</t>
  </si>
  <si>
    <t xml:space="preserve"> Attended Public Speaking Academy</t>
  </si>
  <si>
    <t xml:space="preserve"> Attended State FFA Camp</t>
  </si>
  <si>
    <t xml:space="preserve"> Attended State FFA Convention</t>
  </si>
  <si>
    <t xml:space="preserve"> Attended University of Missouri Agricultural/FFA Field Day</t>
  </si>
  <si>
    <t xml:space="preserve"> Attended Washington Leadership Conference - WLC</t>
  </si>
  <si>
    <t xml:space="preserve"> Candidate for Area Officer</t>
  </si>
  <si>
    <t xml:space="preserve"> Dairy Cattle - District &amp;/or State CDE Participant</t>
  </si>
  <si>
    <t xml:space="preserve"> Dairy Foods - District &amp;/or State CDE Participant</t>
  </si>
  <si>
    <t xml:space="preserve"> Delegate to State FFA Convention</t>
  </si>
  <si>
    <t xml:space="preserve"> Department of Natural Resources Honors Program Participant</t>
  </si>
  <si>
    <t xml:space="preserve"> Entomology - District &amp;/or State CDE Participant</t>
  </si>
  <si>
    <t xml:space="preserve"> Exhibitor FFA Division - District Fair, State Fair, American Royal or National Show</t>
  </si>
  <si>
    <t xml:space="preserve"> Farm Bureau (FB) Public Speaking Contest Participant</t>
  </si>
  <si>
    <t xml:space="preserve"> Farm Management - District &amp;/or State CDE Participant</t>
  </si>
  <si>
    <t xml:space="preserve"> Floriculture - District &amp;/or State CDE Participant</t>
  </si>
  <si>
    <t xml:space="preserve"> Forestry - District &amp;/or State CDE Participant</t>
  </si>
  <si>
    <t xml:space="preserve"> Horse - District &amp;/or State CDE Participant</t>
  </si>
  <si>
    <t xml:space="preserve"> Livestock - District &amp;/or State CDE Participant</t>
  </si>
  <si>
    <t xml:space="preserve"> MDA Judging Clinic at UMC</t>
  </si>
  <si>
    <t xml:space="preserve"> MDA Equine Clinic</t>
  </si>
  <si>
    <t xml:space="preserve"> Meats - District &amp;/or State CDE Participant</t>
  </si>
  <si>
    <t xml:space="preserve"> Member of Courtesy Corp. - National FFA Convention</t>
  </si>
  <si>
    <t xml:space="preserve"> Member of National FFA Band</t>
  </si>
  <si>
    <t xml:space="preserve"> Member of National FFA Chorus</t>
  </si>
  <si>
    <t xml:space="preserve"> Member of State FFA Chorus</t>
  </si>
  <si>
    <t xml:space="preserve"> Missouri Association of Fairs Public Speaking State Participant</t>
  </si>
  <si>
    <t xml:space="preserve"> Missouri Institute of Cooperatives (MIC) Public Speaking Contest Participant</t>
  </si>
  <si>
    <t xml:space="preserve"> Missouri Pork Association - Sales Presentations (State Participant)</t>
  </si>
  <si>
    <t xml:space="preserve"> Missouri Pork Association Public Speaking Contest Participant</t>
  </si>
  <si>
    <t xml:space="preserve"> Missouri Sheep Producers Public Speaking Contest Participant</t>
  </si>
  <si>
    <t xml:space="preserve"> Participated in the Area, District or State Grasslands Management Contest</t>
  </si>
  <si>
    <t xml:space="preserve"> Participated in the Area, District or State FFA Trap shoot</t>
  </si>
  <si>
    <t xml:space="preserve"> Participated in the Missouri Farm Bureau Statewide Leadership Day</t>
  </si>
  <si>
    <t xml:space="preserve"> Participated in The Leadership Adventure – Advancing New Frontiers</t>
  </si>
  <si>
    <t xml:space="preserve"> Participated in The Leadership Adventure – Start the Expedition Process</t>
  </si>
  <si>
    <t xml:space="preserve"> Participated in State or National FFA Talent</t>
  </si>
  <si>
    <t xml:space="preserve"> Participated in the Missouri Agribusiness Academy Interviews</t>
  </si>
  <si>
    <t xml:space="preserve"> Participated in National FFA International Program</t>
  </si>
  <si>
    <t xml:space="preserve"> Participated in the State Young Farmer/Young Farm Wives Tour</t>
  </si>
  <si>
    <t xml:space="preserve"> Participated in a Statewide Workshop or Contest</t>
  </si>
  <si>
    <t xml:space="preserve"> Poultry - District &amp;/or State CDE Participant</t>
  </si>
  <si>
    <t xml:space="preserve"> Served as a delegate to area meeting</t>
  </si>
  <si>
    <t xml:space="preserve"> Soils - District &amp;/or State CDE Participant</t>
  </si>
  <si>
    <t xml:space="preserve"> Prepared Chapter exhibit at State &amp;/or National Convention, or State &amp;/or Mid-South Fair</t>
  </si>
  <si>
    <t xml:space="preserve"> Proficiency awards -- One activity per proficiency award area if competed above local</t>
  </si>
  <si>
    <t>Total</t>
  </si>
  <si>
    <t>DIFF</t>
  </si>
  <si>
    <r>
      <t xml:space="preserve"> 11. </t>
    </r>
    <r>
      <rPr>
        <b/>
        <sz val="12"/>
        <rFont val="Arial"/>
        <family val="2"/>
      </rPr>
      <t>Net Placement Profit</t>
    </r>
  </si>
  <si>
    <r>
      <t xml:space="preserve"> 6.</t>
    </r>
    <r>
      <rPr>
        <b/>
        <sz val="12"/>
        <rFont val="Arial"/>
        <family val="2"/>
      </rPr>
      <t xml:space="preserve"> Net Ownership Income</t>
    </r>
  </si>
  <si>
    <t>BEG</t>
  </si>
  <si>
    <t xml:space="preserve"> AREA STAR FARMER</t>
  </si>
  <si>
    <t xml:space="preserve"> AREA STAR IN AGRIBUSINESS</t>
  </si>
  <si>
    <t xml:space="preserve"> AREA STAR IN PLACEMENT</t>
  </si>
  <si>
    <t>PLACE AN "X" ABOVE YOUR LAST YEAR OF RECORDS - ROW 10 ABOVE!</t>
  </si>
  <si>
    <t>Canton</t>
  </si>
  <si>
    <t>MO0327</t>
  </si>
  <si>
    <t>Blue Springs</t>
  </si>
  <si>
    <t>MO0326</t>
  </si>
  <si>
    <t>Tuscumbia</t>
  </si>
  <si>
    <t>MO0328</t>
  </si>
  <si>
    <t>Cuba</t>
  </si>
  <si>
    <t>MO0329</t>
  </si>
  <si>
    <t>Hermitage</t>
  </si>
  <si>
    <t>MO0330</t>
  </si>
  <si>
    <t>MO0331</t>
  </si>
  <si>
    <t>Marceline</t>
  </si>
  <si>
    <t>MO0332</t>
  </si>
  <si>
    <t>Niangua</t>
  </si>
  <si>
    <t>MO0333</t>
  </si>
  <si>
    <t>Weaubleau</t>
  </si>
  <si>
    <t>MO0334</t>
  </si>
  <si>
    <t>Inventory On Date Recordkeeping Started</t>
  </si>
  <si>
    <t>Breckenridge</t>
  </si>
  <si>
    <t>MO0338</t>
  </si>
  <si>
    <t>Drexel</t>
  </si>
  <si>
    <t>MO0336</t>
  </si>
  <si>
    <t>Iberia</t>
  </si>
  <si>
    <t>MO0337</t>
  </si>
  <si>
    <t>Montrose</t>
  </si>
  <si>
    <t>Smithton</t>
  </si>
  <si>
    <t>MO0339</t>
  </si>
  <si>
    <t>Stover</t>
  </si>
  <si>
    <t xml:space="preserve"> Dairy Handler - State Participant</t>
  </si>
  <si>
    <t xml:space="preserve"> Greenhand Motivational Conference with State FFA Officers</t>
  </si>
  <si>
    <t xml:space="preserve"> Nursery/Landscaping - District &amp;/or State CDE Participant</t>
  </si>
  <si>
    <t xml:space="preserve"> Media Room or Courtesy Corps at State FFA Convention</t>
  </si>
  <si>
    <t xml:space="preserve"> Area/State Secretary’s Book CDE</t>
  </si>
  <si>
    <t xml:space="preserve"> Participated in the Area Officer Institute</t>
  </si>
  <si>
    <t xml:space="preserve"> Participated in the LEAD Conference for Chapter Officers</t>
  </si>
  <si>
    <t xml:space="preserve"> Participated in the District or State Environthon</t>
  </si>
  <si>
    <t>Ballard</t>
  </si>
  <si>
    <t>MO0342</t>
  </si>
  <si>
    <t>Belton</t>
  </si>
  <si>
    <t>MO0343</t>
  </si>
  <si>
    <t>Midway</t>
  </si>
  <si>
    <t>MO0344</t>
  </si>
  <si>
    <t>Chilhowee</t>
  </si>
  <si>
    <t>MO0345</t>
  </si>
  <si>
    <t>Lincoln</t>
  </si>
  <si>
    <t>MO0347</t>
  </si>
  <si>
    <t>Jefferson</t>
  </si>
  <si>
    <t>MO0349</t>
  </si>
  <si>
    <t>Pettis R-V</t>
  </si>
  <si>
    <t>MO0346</t>
  </si>
  <si>
    <t>MO0340</t>
  </si>
  <si>
    <t>North Mercer</t>
  </si>
  <si>
    <t>MO0350</t>
  </si>
  <si>
    <t>Warsaw</t>
  </si>
  <si>
    <t>MO0351</t>
  </si>
  <si>
    <t>South Harrison</t>
  </si>
  <si>
    <t>Blue Springs South</t>
  </si>
  <si>
    <t>MO0341</t>
  </si>
  <si>
    <t xml:space="preserve"> Area/District Job Interview</t>
  </si>
  <si>
    <t xml:space="preserve"> Area/District Agricultural Issues Forum</t>
  </si>
  <si>
    <t xml:space="preserve"> Missouri Young Farmer/Young Farm Wives Public Speaking Contest Participant</t>
  </si>
  <si>
    <t xml:space="preserve"> MO Association of Soil and Water Conservation Districts Speaking Contest Participant</t>
  </si>
  <si>
    <t>MO0335</t>
  </si>
  <si>
    <t>La Monte</t>
  </si>
  <si>
    <t>MO0287</t>
  </si>
  <si>
    <t>Bosworth</t>
  </si>
  <si>
    <t>MO0354</t>
  </si>
  <si>
    <t>LaPlata</t>
  </si>
  <si>
    <t>MO0353</t>
  </si>
  <si>
    <t>Portageville</t>
  </si>
  <si>
    <t>MO0352</t>
  </si>
  <si>
    <t>Hollister</t>
  </si>
  <si>
    <t>MO0355</t>
  </si>
  <si>
    <t>Arcadia Valley CTC</t>
  </si>
  <si>
    <t>CDE SECTIOM</t>
  </si>
  <si>
    <t>Name</t>
  </si>
  <si>
    <t>Area Points</t>
  </si>
  <si>
    <t>District Points</t>
  </si>
  <si>
    <t>State Points</t>
  </si>
  <si>
    <t>National Points</t>
  </si>
  <si>
    <t xml:space="preserve">Grassland </t>
  </si>
  <si>
    <t>Soils</t>
  </si>
  <si>
    <t>a.</t>
  </si>
  <si>
    <t>b.</t>
  </si>
  <si>
    <t>Agricultural Sales</t>
  </si>
  <si>
    <t>c.</t>
  </si>
  <si>
    <t>Agronomy</t>
  </si>
  <si>
    <t>d.</t>
  </si>
  <si>
    <t>e.</t>
  </si>
  <si>
    <t>Dairy Cattle</t>
  </si>
  <si>
    <t>f.</t>
  </si>
  <si>
    <t>Dairy Foods</t>
  </si>
  <si>
    <t>g.</t>
  </si>
  <si>
    <t>Entomology</t>
  </si>
  <si>
    <t>h.</t>
  </si>
  <si>
    <t>Farm Management</t>
  </si>
  <si>
    <t>i.</t>
  </si>
  <si>
    <t>Floriculture</t>
  </si>
  <si>
    <t>j.</t>
  </si>
  <si>
    <t>Forestry</t>
  </si>
  <si>
    <t>k.</t>
  </si>
  <si>
    <t>Horse Evaluation</t>
  </si>
  <si>
    <t>l.</t>
  </si>
  <si>
    <t>Livestock</t>
  </si>
  <si>
    <t>m.</t>
  </si>
  <si>
    <t>Meats Evaluation</t>
  </si>
  <si>
    <t>n.</t>
  </si>
  <si>
    <t>Nursery Landscape</t>
  </si>
  <si>
    <t>o.</t>
  </si>
  <si>
    <t>Poultry</t>
  </si>
  <si>
    <t>p.</t>
  </si>
  <si>
    <t>q.</t>
  </si>
  <si>
    <t>Creed Speaking</t>
  </si>
  <si>
    <t>Extemporaneous Public Speaking</t>
  </si>
  <si>
    <t>Division I Prepared Public Speaking</t>
  </si>
  <si>
    <t>Division II Prepared Public Speaking</t>
  </si>
  <si>
    <t>Advanced Prepared Public Speaking</t>
  </si>
  <si>
    <t>FFA Knowledge</t>
  </si>
  <si>
    <t>Parliamentary Procedure</t>
  </si>
  <si>
    <t xml:space="preserve">Incomplete Record Book Entrepreneurship </t>
  </si>
  <si>
    <t>Incomplete Record Book Placement</t>
  </si>
  <si>
    <t xml:space="preserve">Complete Record Book Entrepreneurship </t>
  </si>
  <si>
    <t>Complete Record Book Placement</t>
  </si>
  <si>
    <t>Secretary's Book</t>
  </si>
  <si>
    <t>Treasurer's Book</t>
  </si>
  <si>
    <t>Chapter Scrapbook</t>
  </si>
  <si>
    <t>Agricultural Issues Forum</t>
  </si>
  <si>
    <t>Environmental &amp; Natural Resources</t>
  </si>
  <si>
    <t>Committee Section</t>
  </si>
  <si>
    <t>Member</t>
  </si>
  <si>
    <t>Chair</t>
  </si>
  <si>
    <t>BOAC</t>
  </si>
  <si>
    <t>Activity Section</t>
  </si>
  <si>
    <t>National</t>
  </si>
  <si>
    <t>State</t>
  </si>
  <si>
    <t>District</t>
  </si>
  <si>
    <t>Chapter</t>
  </si>
  <si>
    <t>National FFA Convention</t>
  </si>
  <si>
    <t>State Environthon</t>
  </si>
  <si>
    <t>UMC Field Day</t>
  </si>
  <si>
    <t>Area FFA Banquet</t>
  </si>
  <si>
    <t>Washington Leadership Conference</t>
  </si>
  <si>
    <t>State FFA Trapshoot at Linn Creek</t>
  </si>
  <si>
    <t>District Environthon</t>
  </si>
  <si>
    <t>Area FFA Barnwarming</t>
  </si>
  <si>
    <t>FFA International Programs</t>
  </si>
  <si>
    <t>State FFA Convention</t>
  </si>
  <si>
    <t>Greenhand Motivational Conference - January with State Officers</t>
  </si>
  <si>
    <t>Area FFA Leadership Conference - Officer Training</t>
  </si>
  <si>
    <t>State FFA Convention Courtesy Corp.</t>
  </si>
  <si>
    <t>District FFA Trap Shoot</t>
  </si>
  <si>
    <t>Area FFA Greenhand Conference</t>
  </si>
  <si>
    <t>National Livestock Show Exhibitor</t>
  </si>
  <si>
    <t>State FFA Convention Media Room Worker</t>
  </si>
  <si>
    <t>District Fair Exhibitor</t>
  </si>
  <si>
    <t>Area FFA Greenhand Initiation</t>
  </si>
  <si>
    <t>FFA Chapter Exhibit Booth at the National Convention</t>
  </si>
  <si>
    <t>State FFA Leadership Camp</t>
  </si>
  <si>
    <t>MO Agribusiness Academy Interviews</t>
  </si>
  <si>
    <t>Area FFA Rituals CDE</t>
  </si>
  <si>
    <t>National Western Livestock &amp; Meats Contest - Denver</t>
  </si>
  <si>
    <t>State FFA Public Speaking Academy</t>
  </si>
  <si>
    <t>District Participant in MIC Public Speaking</t>
  </si>
  <si>
    <t>Area FFA Farm/Agribusiness Tour</t>
  </si>
  <si>
    <t>National Dairy Expo &amp; Contest - Louisville &amp;/or Wisconsin</t>
  </si>
  <si>
    <t>State HYMAX Academy</t>
  </si>
  <si>
    <t>National FFA Knowledge CDE (Invitational)</t>
  </si>
  <si>
    <t>State Public Speaking Institute</t>
  </si>
  <si>
    <t>District Participant in MO Pork Association Public Speaking</t>
  </si>
  <si>
    <t>Area FFA Meeting</t>
  </si>
  <si>
    <t>National Land &amp; Home-Site Evaluation Contest</t>
  </si>
  <si>
    <t>District Participant in MO Sheep Producers Public Speaking</t>
  </si>
  <si>
    <t>Area FFA Officer Interview</t>
  </si>
  <si>
    <t>National Day of Service at National FFA Convention</t>
  </si>
  <si>
    <t>District Participant in Missouri Association of Soil and Water Conservation Districts Public Speaking</t>
  </si>
  <si>
    <t>Area Fair Exhibitor</t>
  </si>
  <si>
    <t>National FFA Rally for Hunger</t>
  </si>
  <si>
    <t>District Participant in Missouri YF/YFW Public Speaking</t>
  </si>
  <si>
    <t>Area FFA Trap Shoot</t>
  </si>
  <si>
    <t>Missouri Pork Institute</t>
  </si>
  <si>
    <t>District Participant in MO Cattle Industry Public Speaking</t>
  </si>
  <si>
    <t>Area FFA Chapter Degree Ceremony or Chapter FFA Degree Motivational Conference</t>
  </si>
  <si>
    <t>District Participant in MO Pet Breeders Association Public Speaking</t>
  </si>
  <si>
    <t>Area Participant in MIC Public Speaking</t>
  </si>
  <si>
    <t>State Fair Booth/Demonstration - Chapter Exhibit</t>
  </si>
  <si>
    <t xml:space="preserve">State Young Farmer Tour </t>
  </si>
  <si>
    <t>Statewide Activity or Event (DELETE and Specify!! In parenthesis)</t>
  </si>
  <si>
    <t>Chapter Exhibit Booth at District Fair</t>
  </si>
  <si>
    <t>Area Participant in MO Pork Association Public Speaking</t>
  </si>
  <si>
    <t>LEAD Conference for Chapter Officers</t>
  </si>
  <si>
    <t>Area Participant in MO Sheep Producers Public Speaking</t>
  </si>
  <si>
    <t>Area Officer Institute</t>
  </si>
  <si>
    <t>Area Participant in Missouri Association of Soil and Water Conservation Districts Public Speaking</t>
  </si>
  <si>
    <t>Area Participant in Missouri YF/YFW Public Speaking</t>
  </si>
  <si>
    <t>Area Participant in MO Cattle Industry Public Speaking</t>
  </si>
  <si>
    <t>Missouri Pork Producers Ambassador Contest</t>
  </si>
  <si>
    <t>Area Participant in MO Pet Breeders Association Public Speaking</t>
  </si>
  <si>
    <t>Area FFA Fundraiser</t>
  </si>
  <si>
    <t>Area FFA Delegate</t>
  </si>
  <si>
    <t>Missouri State Fair Exhibitor</t>
  </si>
  <si>
    <t>New Franklin</t>
  </si>
  <si>
    <t>MO0358</t>
  </si>
  <si>
    <t>West Platte</t>
  </si>
  <si>
    <t>MO0357</t>
  </si>
  <si>
    <t>Calvary Lutheran</t>
  </si>
  <si>
    <t>MO0356</t>
  </si>
  <si>
    <t>AGRISCIENCE</t>
  </si>
  <si>
    <t xml:space="preserve"> AREA STAR IN AGRISCIENCE</t>
  </si>
  <si>
    <t xml:space="preserve"> Missouri Cattle Industry Speaking Contest Participant</t>
  </si>
  <si>
    <t xml:space="preserve"> Missouri Pet Breeders Association Speaking Contest Participant</t>
  </si>
  <si>
    <t xml:space="preserve"> Participated in HYMAX Academy</t>
  </si>
  <si>
    <t xml:space="preserve"> Participated in Public Speaking Institute</t>
  </si>
  <si>
    <t xml:space="preserve">(Form 9, Line II) </t>
  </si>
  <si>
    <t>(Form 5, Line H)</t>
  </si>
  <si>
    <t xml:space="preserve"> 1. Total Ownership/Entrep. Inc.</t>
  </si>
  <si>
    <t xml:space="preserve">   9.  Total Placement Income</t>
  </si>
  <si>
    <t>(From 5, Line C)</t>
  </si>
  <si>
    <t>(Form 5, Line I)</t>
  </si>
  <si>
    <t>(Form 11, Line 12 - Line 13)</t>
  </si>
  <si>
    <t xml:space="preserve"> 13.   Agriscience Expenditures</t>
  </si>
  <si>
    <r>
      <t xml:space="preserve"> 14.  </t>
    </r>
    <r>
      <rPr>
        <b/>
        <sz val="12"/>
        <rFont val="Arial"/>
        <family val="2"/>
      </rPr>
      <t>Net Agriscience Profit</t>
    </r>
  </si>
  <si>
    <t xml:space="preserve"> 12.   Agriscience Income</t>
  </si>
  <si>
    <r>
      <rPr>
        <b/>
        <sz val="10"/>
        <rFont val="Arial"/>
        <family val="2"/>
      </rPr>
      <t>End of Yr (Form 10, Line 38)</t>
    </r>
    <r>
      <rPr>
        <b/>
        <sz val="12"/>
        <rFont val="Arial"/>
        <family val="2"/>
      </rPr>
      <t xml:space="preserve"> </t>
    </r>
  </si>
  <si>
    <t xml:space="preserve">Start of Yr (Form 10, Line 38) </t>
  </si>
  <si>
    <t>(Form 11, Line 15 - 16)</t>
  </si>
  <si>
    <t>(From 11, Line 6 + 11+ 14)</t>
  </si>
  <si>
    <t xml:space="preserve"> 15. Present Net Worth</t>
  </si>
  <si>
    <t xml:space="preserve"> 16. Start of Year Net Worth</t>
  </si>
  <si>
    <t xml:space="preserve"> 17. Gain/Loss in Net Worth</t>
  </si>
  <si>
    <t xml:space="preserve"> 18. SAEP Earnings This Year</t>
  </si>
  <si>
    <t xml:space="preserve"> 19. Income Other Sources            *</t>
  </si>
  <si>
    <r>
      <t xml:space="preserve"> 20. </t>
    </r>
    <r>
      <rPr>
        <b/>
        <sz val="14"/>
        <rFont val="Arial"/>
        <family val="2"/>
      </rPr>
      <t>Total Earnings</t>
    </r>
  </si>
  <si>
    <t>(Line 20 must be larger than line 17 for each year)</t>
  </si>
  <si>
    <t>Placement Table</t>
  </si>
  <si>
    <t>Exchange of Labor table</t>
  </si>
  <si>
    <t>Directed Lab Table</t>
  </si>
  <si>
    <t xml:space="preserve">Paid Placement Experience SAE     </t>
  </si>
  <si>
    <t>Unpaid Placement Experience SAE</t>
  </si>
  <si>
    <t>Ag Sci</t>
  </si>
  <si>
    <t xml:space="preserve"> 24.  Exchange of Labor Expense **</t>
  </si>
  <si>
    <t xml:space="preserve"> 25.  Exchange Labor Factor</t>
  </si>
  <si>
    <t xml:space="preserve"> 26.  Maximum Exchange Labor Hours</t>
  </si>
  <si>
    <t xml:space="preserve">            (Line 24 divided by Line 25)</t>
  </si>
  <si>
    <r>
      <t>AGRISCIENCE-</t>
    </r>
    <r>
      <rPr>
        <b/>
        <sz val="11"/>
        <rFont val="Arial"/>
        <family val="2"/>
      </rPr>
      <t>Exploratory, Experiemental, Analytical</t>
    </r>
  </si>
  <si>
    <t>committee chair to receive degree</t>
  </si>
  <si>
    <t>Remember - include year of office,</t>
  </si>
  <si>
    <t xml:space="preserve">also you must be an officer or </t>
  </si>
  <si>
    <t xml:space="preserve">Place cursor at the end of this line, double click, delete text, and begin typing.  Use Alt+Enter to move to next line if desired.  
</t>
  </si>
  <si>
    <t>C.  USE DROPDOWN LISTS FOR AWARD AREA, AND TAX QUESTIONS.</t>
  </si>
  <si>
    <r>
      <t xml:space="preserve">B.  USE THE </t>
    </r>
    <r>
      <rPr>
        <b/>
        <sz val="10"/>
        <rFont val="Arial"/>
        <family val="2"/>
      </rPr>
      <t>TAB KEY</t>
    </r>
    <r>
      <rPr>
        <sz val="10"/>
        <rFont val="Arial"/>
        <family val="0"/>
      </rPr>
      <t xml:space="preserve"> TO FIND THE NEXT CELL THAT WILL ACCEPT INFORMATION</t>
    </r>
  </si>
  <si>
    <t>A.  SELECT YOUR CHAPTER NAME FROM THE DROPDOWN LIST.  THE CHAPTER # WILL AUTOMATICALLY FILL.</t>
  </si>
  <si>
    <t xml:space="preserve">C.  SECTION B -- YOU MUST SELECT THE LEVEL OF ACTIVITY FIRST.  THEN FILL IN THE ACTIVITY AND YEAR.  </t>
  </si>
  <si>
    <t>D.  SECTION C - PLACE YEAR AND THEN SELECT OFFICE FROM THE LIST</t>
  </si>
  <si>
    <t>E.  SECTION D - PLACE YEAR AND THEN SELECT COMMITTEE FROM LIST AND MARK LEVEL AND RESPONSIBILITY.</t>
  </si>
  <si>
    <t xml:space="preserve">     YOU CAN TYPE IN THE ACTIVITY FOR CHAPTER AND OTHER AREA APPROVED ACTIVITIES</t>
  </si>
  <si>
    <t xml:space="preserve">G.  THE ERROR MESSAGES ARE THERE TO HELP YOU.  THEY WILL NOT DETECT EVERY </t>
  </si>
  <si>
    <t xml:space="preserve">          INSTRUCTIONS FOR STATE DEGREE APPLICATION</t>
  </si>
  <si>
    <t>F.  SECTION E -- PLACE YEAR AND THEN SELECT CDE FROM LIST AND MARK LEVEL</t>
  </si>
  <si>
    <t xml:space="preserve"> E.  Career Development Events:  - (75 Points)</t>
  </si>
  <si>
    <t>State Participant in MIC Public Speaking</t>
  </si>
  <si>
    <t>State Participant in MO Pork Association Public Speaking</t>
  </si>
  <si>
    <t>State Participant in MO Sheep Producers Public Speaking</t>
  </si>
  <si>
    <t>State Participant in MO Cattle Industry Public Speaking</t>
  </si>
  <si>
    <t>State Participant in MO Pet Breeders Association Public Speaking</t>
  </si>
  <si>
    <t>State Participant in MO Association of Soil and Water Conservation Public Speaking</t>
  </si>
  <si>
    <t>State Participant in MO YF/YFW Public Speaking</t>
  </si>
  <si>
    <t>(Form 5, Line E)</t>
  </si>
  <si>
    <t>Missouri Farm Bureau Statewide Leadership Day</t>
  </si>
  <si>
    <t>District Participant in MO Farm Bureau Public Speaking</t>
  </si>
  <si>
    <t>State FFA Convention Delegate</t>
  </si>
  <si>
    <t>National FFA Convention Courtesy Corp.</t>
  </si>
  <si>
    <t>Area Participant in MO Farm Bureau Public Speaking</t>
  </si>
  <si>
    <t>Missouri Farm Bureau Ambassador Contest</t>
  </si>
  <si>
    <t>State Participant in MO Farm Bureau Public Speaking</t>
  </si>
  <si>
    <t>Greenville</t>
  </si>
  <si>
    <t>MO0362</t>
  </si>
  <si>
    <t>Lexington</t>
  </si>
  <si>
    <t>Malden</t>
  </si>
  <si>
    <t>MO0363</t>
  </si>
  <si>
    <t>New Madrid Co. Central</t>
  </si>
  <si>
    <t>Northland Career Center</t>
  </si>
  <si>
    <t>MO0360</t>
  </si>
  <si>
    <t>Orchard Farm</t>
  </si>
  <si>
    <t>MO0359</t>
  </si>
  <si>
    <t>Saxony Lutheran</t>
  </si>
  <si>
    <t>MO0361</t>
  </si>
  <si>
    <t>Higbee</t>
  </si>
  <si>
    <t>MO0365</t>
  </si>
  <si>
    <t>Sturgeon</t>
  </si>
  <si>
    <t>MO0364</t>
  </si>
  <si>
    <t>Bevier</t>
  </si>
  <si>
    <t>MO0366</t>
  </si>
  <si>
    <t>Kearney</t>
  </si>
  <si>
    <t>MO0367</t>
  </si>
  <si>
    <t>MO0369</t>
  </si>
  <si>
    <t>Spokane</t>
  </si>
  <si>
    <t>SAEP Earnings (Form 11,Line 18)</t>
  </si>
  <si>
    <t>Net Worth (Form 11, Line 15)</t>
  </si>
  <si>
    <t>Net Worth (Form 11, Line 16 of Year 1)</t>
  </si>
  <si>
    <t xml:space="preserve"> Attended MO ACTE Legislative Day</t>
  </si>
  <si>
    <t xml:space="preserve"> Participated in State or National FA Agriscience Fair</t>
  </si>
  <si>
    <t xml:space="preserve"> Participated in HYPE Academy </t>
  </si>
  <si>
    <t xml:space="preserve"> Participated in Missouri Youth Institute - World Food Prize</t>
  </si>
  <si>
    <t xml:space="preserve"> Missouri Teach Ag Public Speaking Contest Participant </t>
  </si>
  <si>
    <t>National Agriscience Fair</t>
  </si>
  <si>
    <t>American Royal Livestock Contest - Kansas City</t>
  </si>
  <si>
    <t>Mid-America Grasslands Evaluation Contest</t>
  </si>
  <si>
    <t>State Agriscience Fair</t>
  </si>
  <si>
    <t>Missouri Governor's Conference on Agriculture</t>
  </si>
  <si>
    <t>Missouri Youth Institute -- World Food Prize</t>
  </si>
  <si>
    <t>District Participant in MO Teach Ag Public Speaking</t>
  </si>
  <si>
    <t>State Participant in MO Teach Ag Public Speaking</t>
  </si>
  <si>
    <t>Area Participant in MO Teach Ag Public Speaking</t>
  </si>
  <si>
    <t>Leadership Committee</t>
  </si>
  <si>
    <t>Career Success Committee</t>
  </si>
  <si>
    <t>Scholarship Committee</t>
  </si>
  <si>
    <t>Personal Growth Committee</t>
  </si>
  <si>
    <t>Support Group Committee</t>
  </si>
  <si>
    <t>Economic Development Committee</t>
  </si>
  <si>
    <t>Human Resources Committee</t>
  </si>
  <si>
    <t>Citizenship Committee</t>
  </si>
  <si>
    <t>Agricultural Advocacy Committee</t>
  </si>
  <si>
    <t>Agricultural Literacy Committee</t>
  </si>
  <si>
    <t>Stakeholder Engagement Committee</t>
  </si>
  <si>
    <t>Safety Committee</t>
  </si>
  <si>
    <t>Missouri ACTE Legislative Day</t>
  </si>
  <si>
    <t>&lt;--Remember to include the year of office to the left</t>
  </si>
  <si>
    <t>Grandview</t>
  </si>
  <si>
    <t>MO0371</t>
  </si>
  <si>
    <t>Blair Oaks</t>
  </si>
  <si>
    <t>MO0372</t>
  </si>
  <si>
    <t>District Participant in MO Quarter Horse Public Speaking</t>
  </si>
  <si>
    <t>Area Participant in MO Quarter Horse Public Speaking</t>
  </si>
  <si>
    <t>State Participant in MO Quarter Horse Public Speaking</t>
  </si>
  <si>
    <t>Healthy Lifestyles Committee</t>
  </si>
  <si>
    <t>Conduct of Chapter Meetings</t>
  </si>
  <si>
    <t xml:space="preserve"> Area/District Conduct of Chapter Meeting LDE</t>
  </si>
  <si>
    <t xml:space="preserve"> Missouri Quarter Horse Association Public Speaking Contest Participant </t>
  </si>
  <si>
    <t>Food Science</t>
  </si>
  <si>
    <t>East Carter</t>
  </si>
  <si>
    <t>MO0375</t>
  </si>
  <si>
    <t>Oak Ridge</t>
  </si>
  <si>
    <t>MO0376</t>
  </si>
  <si>
    <t>Valley Caledonia</t>
  </si>
  <si>
    <t>MO0374</t>
  </si>
  <si>
    <t>Newburg</t>
  </si>
  <si>
    <t>MO0373</t>
  </si>
  <si>
    <t xml:space="preserve">Agriscience Unpaid Research SAE     </t>
  </si>
  <si>
    <t xml:space="preserve">Agriscience Paid Experience SAE     </t>
  </si>
  <si>
    <t>Agriscience Paid table</t>
  </si>
  <si>
    <t>Agriscience Unpaid Research Table</t>
  </si>
  <si>
    <t>Year 1</t>
  </si>
  <si>
    <t>Research</t>
  </si>
  <si>
    <t>Select AFNR Pathway</t>
  </si>
  <si>
    <t>Select Placement Type</t>
  </si>
  <si>
    <t>Agriculture Business/Management</t>
  </si>
  <si>
    <t>Placement - Paid</t>
  </si>
  <si>
    <t>AFNR Pathway</t>
  </si>
  <si>
    <t>Placement Type</t>
  </si>
  <si>
    <t>Hours</t>
  </si>
  <si>
    <t>Employer/   Project Name</t>
  </si>
  <si>
    <t xml:space="preserve">Agriculture Mechanics/Technology </t>
  </si>
  <si>
    <t>Placement - Unpaid</t>
  </si>
  <si>
    <t>Animal Science</t>
  </si>
  <si>
    <t>Exchange of Labor</t>
  </si>
  <si>
    <t>Natural Resources/Conservation</t>
  </si>
  <si>
    <t>Plant Science/Horticulture</t>
  </si>
  <si>
    <t>COMMUNITY SERVICE LOG</t>
  </si>
  <si>
    <t>At least 25 hours within at least 2 different community service activities -- See handbook</t>
  </si>
  <si>
    <t xml:space="preserve">Individual / Group / Organization to whom service was Provided </t>
  </si>
  <si>
    <t>Year</t>
  </si>
  <si>
    <t>Select Year</t>
  </si>
  <si>
    <t>Explain how the SAE is providing a Service and/or Adding value to the product.</t>
  </si>
  <si>
    <t xml:space="preserve">Should include an explanation of how 50% of the income is a result of the service or value added component. </t>
  </si>
  <si>
    <t>Agriscience - Unpaid</t>
  </si>
  <si>
    <t>Agriscience - Paid</t>
  </si>
  <si>
    <t>Proficiency &amp; Award Section</t>
  </si>
  <si>
    <t xml:space="preserve">Reserve Champion FFA Division (Specify breed, sex, or class) at Local Fair </t>
  </si>
  <si>
    <t xml:space="preserve">Grand Champion FFA Division (Specify breed, sex, or class) at Local Fair </t>
  </si>
  <si>
    <t xml:space="preserve">Grand Champion FFA (specify species) Showmanship at Local Fair </t>
  </si>
  <si>
    <t xml:space="preserve">Reserve Champion FFA (specify species) Showmanship at Local Fair </t>
  </si>
  <si>
    <t>Chapter FFA Alumni Legion of Merit Award</t>
  </si>
  <si>
    <t>Chapter FFA Leadership Medal</t>
  </si>
  <si>
    <t>Chapter FFA Scholarship Medal</t>
  </si>
  <si>
    <t>Star Greenhand</t>
  </si>
  <si>
    <t>Star Chapter Farmer</t>
  </si>
  <si>
    <t xml:space="preserve">All Around Camper </t>
  </si>
  <si>
    <t>FFA Camp Award (specify camp award)</t>
  </si>
  <si>
    <t>Star Chapter Agribusiness</t>
  </si>
  <si>
    <t>Star Chapter Placement</t>
  </si>
  <si>
    <t>Star Chapter Agriscience</t>
  </si>
  <si>
    <t>Chapter FFA Creed Speaker</t>
  </si>
  <si>
    <t>Chapter FFA Prepared Public Speaker</t>
  </si>
  <si>
    <t>Chapter FFA Extemporaneous Public Speaker</t>
  </si>
  <si>
    <t>Chapter_A</t>
  </si>
  <si>
    <t>Local Chapter Award other than in handbook (specify award) - only 2 allowed</t>
  </si>
  <si>
    <t>Area_A</t>
  </si>
  <si>
    <t>Grand Champion FFA Division (Specify breed, sex, or class) at Area Fair</t>
  </si>
  <si>
    <t>Reserve Champion FFA Division (Specify breed, sex, or class) at Area Fair</t>
  </si>
  <si>
    <t>Grand Champion FFA (specify species) Showmanship at Area Fair</t>
  </si>
  <si>
    <t>Reserve Champion FFA (specify species) Showmanship at Area Fair</t>
  </si>
  <si>
    <t>District_A</t>
  </si>
  <si>
    <t>(Specify 1st, 2nd or 3rd) High Individual in District (specify CDE)  CDE</t>
  </si>
  <si>
    <t>(Specify 1st, 2nd, or 3rd) place individual in District Grassland CDE</t>
  </si>
  <si>
    <t>(Specify 1st, 2nd or 3rd) High Individual in (specify District) Trap Shoot</t>
  </si>
  <si>
    <t>Top 2 District Participant in (specify Fall Speaking LDE)</t>
  </si>
  <si>
    <t>Grand Champion FFA Division (specify breed, sex, or class) at District Fair</t>
  </si>
  <si>
    <t>Reserve Champion FFA division (specify breed, sex, or class) at District Fair</t>
  </si>
  <si>
    <t xml:space="preserve">Reserve Champion FFA (specify species) Showmanship at District Fair </t>
  </si>
  <si>
    <t>Grand Champion FFA (specify species) Showmanship at District Fair</t>
  </si>
  <si>
    <t>State_A</t>
  </si>
  <si>
    <t>Area FFA Proficiency in (Specify Award Area)</t>
  </si>
  <si>
    <t>Chapter FFA Proficiency in (Specify Award Area)</t>
  </si>
  <si>
    <t>State FFA Profiency in (specify award area)</t>
  </si>
  <si>
    <t>State FFA Alumni Association WLC Scholarship Winner</t>
  </si>
  <si>
    <t>State Winner Missouri Ruralist Essay Contest</t>
  </si>
  <si>
    <t>State FFA Chorus Member</t>
  </si>
  <si>
    <t>State FFA Talent Member</t>
  </si>
  <si>
    <t>Group I Individual State (specify CDE) CDE</t>
  </si>
  <si>
    <t>1st Place State Dairy Handler</t>
  </si>
  <si>
    <t>Group I Individual State FFA Knowledge CDE</t>
  </si>
  <si>
    <t>1st Place Area FFA Treasurer's Book CDE</t>
  </si>
  <si>
    <t>1st Place Area FFA Secretary's Book CDE</t>
  </si>
  <si>
    <t>1st Place Area FFA Chapter Scrapbook CDE</t>
  </si>
  <si>
    <t>1st Place Area Incomplete Record Book Entrepreneurship CDE</t>
  </si>
  <si>
    <t>1st Place Area Incomplete Record Book Placement CDE</t>
  </si>
  <si>
    <t>1st Place Area Complete Recored Book Entrepreneurship CDE</t>
  </si>
  <si>
    <t>1st Place Area Complete Record Book Placement CDE</t>
  </si>
  <si>
    <t>Top 3 Winners of MO Associaiton of Fairs &amp; Festivals Public Speaking Contest</t>
  </si>
  <si>
    <t>(specify 1st or 2nd) Place State Winner in Agriscience Fair, (specify division and category)</t>
  </si>
  <si>
    <t>Missouri State Fair Scholarship Recipient</t>
  </si>
  <si>
    <t>Conservation Honors Program Participant</t>
  </si>
  <si>
    <t>Lincoln Arc Welding Awards</t>
  </si>
  <si>
    <t>Missouri Agribusiness Academy Participant</t>
  </si>
  <si>
    <t>State FFA Camp Leadership Medal</t>
  </si>
  <si>
    <t>Public Speaking Academy Leadership Medal</t>
  </si>
  <si>
    <t>Grand Champion FFA Division (specify breed, sex, or class) at Missouri State Fair</t>
  </si>
  <si>
    <t>Reserve Champion FFA Division (specify breed, sex, or class) at Missouri State Fair</t>
  </si>
  <si>
    <t>Grand Champion FFA Division Showmanship (specify species) at Missouri State Fair</t>
  </si>
  <si>
    <t>Reserve Champion FFA Division Showmanship (specify species) at Missouri State Fair</t>
  </si>
  <si>
    <t>National_A</t>
  </si>
  <si>
    <t>1st Place State Winner - National FFA Proficiency (specify award area)</t>
  </si>
  <si>
    <t>Ntational FFA Premier Chapter Interviews</t>
  </si>
  <si>
    <t>National FFA Model of Excellence Interiews</t>
  </si>
  <si>
    <t>National FFA SAE Grant</t>
  </si>
  <si>
    <t>National FFA Band</t>
  </si>
  <si>
    <t>National FFA Chorus</t>
  </si>
  <si>
    <t>National FFA Talent</t>
  </si>
  <si>
    <t>National FFA Scholarship Winner</t>
  </si>
  <si>
    <t>National FFA Dairy Handler</t>
  </si>
  <si>
    <t>National Finalist Chevron Tractor Restortation</t>
  </si>
  <si>
    <t>National FFA Agriscience Finalist (specify division &amp; category)</t>
  </si>
  <si>
    <t>GROWING LEADERS</t>
  </si>
  <si>
    <t>BUILDING COMMUNITIES</t>
  </si>
  <si>
    <t>STRENGTHENING AGRICULTURE</t>
  </si>
  <si>
    <t>Agricultural Communications</t>
  </si>
  <si>
    <t>Veterinary Science</t>
  </si>
  <si>
    <t>SAE 1</t>
  </si>
  <si>
    <t>SAE 2</t>
  </si>
  <si>
    <t xml:space="preserve">Leadership 1 </t>
  </si>
  <si>
    <t>Leadership 2</t>
  </si>
  <si>
    <r>
      <t xml:space="preserve">Describe - Placement (paid/unpaid, Exchange of Labor, &amp; Agriscience (paid/unpaid) for hours claimed on SAE 2- </t>
    </r>
    <r>
      <rPr>
        <sz val="11"/>
        <color indexed="8"/>
        <rFont val="Arial"/>
        <family val="2"/>
      </rPr>
      <t>(If Applicable)</t>
    </r>
  </si>
  <si>
    <r>
      <t xml:space="preserve">Describe Below your Ownership Agribusiness/Custom Work SAE from SAE 1 Tab -- </t>
    </r>
    <r>
      <rPr>
        <sz val="12"/>
        <color indexed="8"/>
        <rFont val="Arial"/>
        <family val="2"/>
      </rPr>
      <t>(If Applicable to application)</t>
    </r>
  </si>
  <si>
    <r>
      <t>Responsibilities or Description</t>
    </r>
    <r>
      <rPr>
        <sz val="11"/>
        <rFont val="Arial"/>
        <family val="2"/>
      </rPr>
      <t xml:space="preserve">                                                                                          </t>
    </r>
    <r>
      <rPr>
        <sz val="10"/>
        <rFont val="Arial"/>
        <family val="2"/>
      </rPr>
      <t>(detailed enough for reviewer to understand what the placement is and                                                                     how it is agriculturally related) (250 character maximum)</t>
    </r>
  </si>
  <si>
    <t xml:space="preserve">     </t>
  </si>
  <si>
    <r>
      <rPr>
        <b/>
        <sz val="12"/>
        <rFont val="Arial"/>
        <family val="2"/>
      </rPr>
      <t>Responsibilities or Description</t>
    </r>
    <r>
      <rPr>
        <sz val="11"/>
        <rFont val="Arial"/>
        <family val="2"/>
      </rPr>
      <t xml:space="preserve">                                                                                                            </t>
    </r>
    <r>
      <rPr>
        <sz val="10"/>
        <rFont val="Arial"/>
        <family val="2"/>
      </rPr>
      <t>(detailed enough for reviewer to understand what the placement is and                                                                     how it is agriculturally related) (250 character maximum)</t>
    </r>
  </si>
  <si>
    <t>1st, 2nd, 3rd place individual in District Grassland CDE</t>
  </si>
  <si>
    <t>1st, 2nd, 3rd High Individual in District Trap Shoot</t>
  </si>
  <si>
    <t xml:space="preserve">1st, 2nd, 3rd High Individual in Area Trap Shoot </t>
  </si>
  <si>
    <t>1st, 2nd, 3rd place individual in State Grassland CDE</t>
  </si>
  <si>
    <t>1st, 2nd, 3rd High Individual at State Trap Shoot -- Linn Creek Trap Range</t>
  </si>
  <si>
    <t>Climax Springs</t>
  </si>
  <si>
    <t>MO0377</t>
  </si>
  <si>
    <t>Warrensburg ACC</t>
  </si>
  <si>
    <t>Local Advisor</t>
  </si>
  <si>
    <t>Area Reviewer</t>
  </si>
  <si>
    <t>State Reviewer</t>
  </si>
  <si>
    <t>Missouri State Degree Application Check Sheet</t>
  </si>
  <si>
    <t>SCHOOL:</t>
  </si>
  <si>
    <t>Has the candidate received the Chapter FFA Degree?</t>
  </si>
  <si>
    <t>Yes</t>
  </si>
  <si>
    <t>No</t>
  </si>
  <si>
    <t>1.</t>
  </si>
  <si>
    <t>10.</t>
  </si>
  <si>
    <t>2.</t>
  </si>
  <si>
    <t>3.</t>
  </si>
  <si>
    <t>4.</t>
  </si>
  <si>
    <t>5.</t>
  </si>
  <si>
    <t>6.</t>
  </si>
  <si>
    <t>7.</t>
  </si>
  <si>
    <t>9.</t>
  </si>
  <si>
    <t>11.</t>
  </si>
  <si>
    <t>12.</t>
  </si>
  <si>
    <t>Has the candidate earned and productively invested at least $1,000 or worked at least 300 hours in excess of scheduled class time or a combination thereof in an SAE?</t>
  </si>
  <si>
    <t xml:space="preserve">NAME: </t>
  </si>
  <si>
    <t xml:space="preserve">If Agriscience Unpaid Research Hours are indicated on SAE 2 then a log of hours and research abstract must be attached. </t>
  </si>
  <si>
    <t xml:space="preserve">8. </t>
  </si>
  <si>
    <t>Has the candidate submitted the following records:</t>
  </si>
  <si>
    <t>Is this application on the current year's application form?</t>
  </si>
  <si>
    <t>Please Check Carefully                                                                                                 (QUESTIONS 1-12 MUST BE ANSWERD "YES" TO QUALIFY)</t>
  </si>
  <si>
    <t>Has the candidate participated in at least 25 hours of community service within at least 2 different community service activities?  These hours are in addition to and cannot be duplicated as paid or unpaid SAE hours.  (verified on the SAE 4 page) (Does not benefit FFA chapter)</t>
  </si>
  <si>
    <t>Local Advisor Signature with Date</t>
  </si>
  <si>
    <t>Area Reviewer Signature with Date</t>
  </si>
  <si>
    <t>Check Sheet</t>
  </si>
  <si>
    <t xml:space="preserve">Notes from Reviewers (need an initial if corrections were made or something to inform next reviewer of status or explanation) </t>
  </si>
  <si>
    <t>Demonstrated leadership abilities and outstanding leadership participation by:</t>
  </si>
  <si>
    <t>Candidate has a satisfactory scholastic record</t>
  </si>
  <si>
    <t xml:space="preserve">  a. Performing Ten Parliamentary Procedures of Parlimantary Law</t>
  </si>
  <si>
    <t xml:space="preserve">  b. Giving a six minute speech on a topic relating to agriculture or the FFA</t>
  </si>
  <si>
    <t xml:space="preserve"> c. Serving as an officer and/or committee chairperson or a participating member of a chapter   committee</t>
  </si>
  <si>
    <t xml:space="preserve">  d. Making a satisfactory score on a written FFA Test</t>
  </si>
  <si>
    <t xml:space="preserve">  e. Assisting in planning and conducting chapter program of activites</t>
  </si>
  <si>
    <t xml:space="preserve">  f. Serving as a chapter officer or committee chairman</t>
  </si>
  <si>
    <t xml:space="preserve">  g. Participation in at least 5 activites above the chapter level (verified on FFA Leadership 1 or FFA Leadership 2 pages)</t>
  </si>
  <si>
    <t xml:space="preserve">  h. Participation in leadership positions outside the FFA (entered on FFA Leadership Page 2)</t>
  </si>
  <si>
    <t xml:space="preserve">  i. Meet the minimun of FFA Point Score (150 points) as stated in the State Degree Handbook</t>
  </si>
  <si>
    <t xml:space="preserve">  b. Financial Statement for all years of agricultural education and FFA</t>
  </si>
  <si>
    <t xml:space="preserve">  d. Inventory record &amp; depreciation schedule for all years of agricultural education &amp; FFA</t>
  </si>
  <si>
    <t xml:space="preserve">  f. Placement (paid/unpaid) descriptions are detailed enough to determine agriculturally related</t>
  </si>
  <si>
    <t xml:space="preserve">  a. Expenses and receipt records for all years on application?</t>
  </si>
  <si>
    <t>Do the records agree with the application?</t>
  </si>
  <si>
    <t xml:space="preserve">  e. Record of all FFA, School and Community Activites for all years of agricultural education &amp;                   FFA</t>
  </si>
  <si>
    <t>F.  USE THE "CLEAR CONTENT" FUNCTION TO BLANK OUT CELLS -- Do not use delete!!</t>
  </si>
  <si>
    <t xml:space="preserve">      AGRISCIENCE OR EXCHANGE OF LABOR FOR SCOPE AND HOURS TO COUNT.  </t>
  </si>
  <si>
    <t>D.  YOU MUST FILL OUT "SAE 3 and/or SAE 4 if your SAE INCLUDES PAID/UNPAID PLACEMENT, PAID/UNPAID</t>
  </si>
  <si>
    <t xml:space="preserve">E.  ON SAE 3 and/or SAE 4 SELECT the PATHWAY and PLACEMENT TYPE in the HOURS and DESCRIPTION </t>
  </si>
  <si>
    <t>B. SECTION A. -- TO OBTAIN THE CORRECT DROPDOWN LIST YOU MUST FIRST SELECT THE LEVEL FIRST</t>
  </si>
  <si>
    <t xml:space="preserve">     (THESE ARE THE ONLY AWARDS THAT WILL BE ACCEPTED)(complete list can be found in handbook)</t>
  </si>
  <si>
    <t>Select committee or type in other Non-POA, or BOAC</t>
  </si>
  <si>
    <t>Select CDE/LDE from Dropdown List</t>
  </si>
  <si>
    <t xml:space="preserve">          Select Committee from Dropdown List</t>
  </si>
  <si>
    <t>Agricultural Mechanics</t>
  </si>
  <si>
    <t>Employment Skills</t>
  </si>
  <si>
    <t>MO0378</t>
  </si>
  <si>
    <t>Hillcrest SPS</t>
  </si>
  <si>
    <t>Multi-Year</t>
  </si>
  <si>
    <t>Service performed and whom you performed the service with if applicable</t>
  </si>
  <si>
    <t>A.  MANUALLY FILL OUT the CHECKSHEET ITEMS AFTER PRINTING. THERE are PLACES FOR NOTES AND SIGNATURES</t>
  </si>
  <si>
    <t xml:space="preserve">Place Cursor at the end of the line, double click mouse, delete text.  Use Alt+Enter to move to next line if desired.  Box will print 10 lines of text.  </t>
  </si>
  <si>
    <t>Gold Rating Individual on a Gold Rated National LDE Team (specify LDE Team)</t>
  </si>
  <si>
    <t>Gold Rating - Individual -- National FFA (specify CDE) CDE</t>
  </si>
  <si>
    <t>State Winner Growmark Essay Contest</t>
  </si>
  <si>
    <t xml:space="preserve">State HYPE Academy </t>
  </si>
  <si>
    <t>Final 6 in State LDE - (specify a state LDE)</t>
  </si>
  <si>
    <t>Top 6 State Participant - Fall Speaking  - (specify Fall Speaking LDE)</t>
  </si>
  <si>
    <t>Top 2 District Participant - Fall Speaking - (specify Fall Speaking LDE)</t>
  </si>
  <si>
    <t>Top 2 Area Participant - Fall Speaking - (specify Fall Speaking LDE)</t>
  </si>
  <si>
    <t>MU CAFNR Summer Academy (Specify Academy)</t>
  </si>
  <si>
    <t>SEMO Field Day</t>
  </si>
  <si>
    <t xml:space="preserve">Missouri Institute of Cooperatives "Make your Own Cooperative Contest" (District Participant) </t>
  </si>
  <si>
    <t>Environmental  Committee</t>
  </si>
  <si>
    <t>National Environthon</t>
  </si>
  <si>
    <t xml:space="preserve">                      SAE 3</t>
  </si>
  <si>
    <t xml:space="preserve">                      SAE 4</t>
  </si>
  <si>
    <t>SUPERVISED AGRICULTURAL EXPERIENCE (Part 3)</t>
  </si>
  <si>
    <t>SUPERVISED AGRICULTURAL EXPERIENCE (Part 4)</t>
  </si>
  <si>
    <t>Grand Champion FFA Division (specify breed, sex, or class) at National Livestock Show</t>
  </si>
  <si>
    <t>Grand Champion FFA Division Showmanship (specify species) at National Livestock Show</t>
  </si>
  <si>
    <t>Reserve Champion FFA Division Showmanship (specify species) at National Livestock Show</t>
  </si>
  <si>
    <t>Missouri Institue of Cooperatives "Make your Own Cooperative Contest" (State Particiipant)</t>
  </si>
  <si>
    <t>NWMSU Precision Ag Academy</t>
  </si>
  <si>
    <t xml:space="preserve">Has the candidate been an active FFA Member for a minimum of 24 months at the time of receiving the degree? </t>
  </si>
  <si>
    <t xml:space="preserve">While in high school, have completed at least two years (360 hours)of systematic school instruction in agriculural education at or above the ninth grade level including a SAE program. </t>
  </si>
  <si>
    <t>If Directed Labortory/Unpaid Placement experience is indicated on SAE 2 then a log of hours should be found in the record book.</t>
  </si>
  <si>
    <t xml:space="preserve">  c. Profit &amp; Loss statement for all years of agricultural education &amp; FFA</t>
  </si>
  <si>
    <t>Chapter Recruitment Committee</t>
  </si>
  <si>
    <t>Reserve Champion FFA Division (specify breed, sex, or class) at National Livestock Show</t>
  </si>
  <si>
    <t>Place Cursor at the end of the line, double click mouse, delete text.</t>
  </si>
  <si>
    <t xml:space="preserve"> Place Cursor at the end of the line, double click mouse, delete text.</t>
  </si>
  <si>
    <t xml:space="preserve">American Royal Youth Leadership Day at the Western Farm Show </t>
  </si>
  <si>
    <t>National FFA Challenge Events (List Event in parenthesis) - 2020 Only</t>
  </si>
  <si>
    <t xml:space="preserve">SHOW ME Summit - Virtual Leadership Experience - 2020 Only  </t>
  </si>
  <si>
    <t>Total Hours</t>
  </si>
  <si>
    <t>1st, 2nd, 3rd place team in District LDE</t>
  </si>
  <si>
    <t>District Reviewer</t>
  </si>
  <si>
    <t>District Reviewer Signature with Date</t>
  </si>
  <si>
    <t>Total Placement Hours (SAE 3 &amp;4)</t>
  </si>
  <si>
    <t>State Reviewer Signature with Date</t>
  </si>
  <si>
    <t>Tractor Restoration Table</t>
  </si>
  <si>
    <t>Tractor</t>
  </si>
  <si>
    <t>National Entamology Invitational Contest</t>
  </si>
  <si>
    <t>Area Participant in MO Forest Products Association Public Speaking</t>
  </si>
  <si>
    <t>State Participant in MO Forest Products Association Public Speaking</t>
  </si>
  <si>
    <t>District Participant in MO Forest Products Association Public Speaking</t>
  </si>
  <si>
    <t>Top 3 team participant in Parlimentary Procedure, Conduct of Meetings, Green Hand Knowledge, Ag Issues</t>
  </si>
  <si>
    <t xml:space="preserve">MFA Foundation SAE Grant </t>
  </si>
  <si>
    <t>Blue Eye</t>
  </si>
  <si>
    <t>MO0385</t>
  </si>
  <si>
    <t>Laquey</t>
  </si>
  <si>
    <t>MO0125</t>
  </si>
  <si>
    <t>MO FFA 2022-2025 Application-October 2022</t>
  </si>
  <si>
    <t xml:space="preserve">                          2022-2025 Application</t>
  </si>
  <si>
    <t xml:space="preserve">Tractor Restoration SAE     </t>
  </si>
  <si>
    <t>Dixon</t>
  </si>
  <si>
    <t>MO0381</t>
  </si>
  <si>
    <t>MO0379</t>
  </si>
  <si>
    <t>Clearwater</t>
  </si>
  <si>
    <t>Eminence</t>
  </si>
  <si>
    <t>MO0382</t>
  </si>
  <si>
    <t>Hillsboro</t>
  </si>
  <si>
    <t>MO0380</t>
  </si>
  <si>
    <t>North Pemiscot</t>
  </si>
  <si>
    <t>MO0384</t>
  </si>
  <si>
    <t>Viburnum</t>
  </si>
  <si>
    <t>MO0383</t>
  </si>
  <si>
    <t>Ellington</t>
  </si>
  <si>
    <t>MO0386</t>
  </si>
  <si>
    <t>Bell City</t>
  </si>
  <si>
    <t>MO0387</t>
  </si>
  <si>
    <t>Van Buren</t>
  </si>
  <si>
    <t>MO0388</t>
  </si>
  <si>
    <t>Glendale</t>
  </si>
  <si>
    <t>MO0389</t>
  </si>
  <si>
    <t>STA at Paradise Park (Lee's Summit)</t>
  </si>
  <si>
    <t>MO0390</t>
  </si>
  <si>
    <t>Launch (Springfield)</t>
  </si>
  <si>
    <t>MO0391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</si>
</sst>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0.0"/>
    <numFmt numFmtId="166" formatCode="0.00\ "/>
    <numFmt numFmtId="167" formatCode="m\O"/>
    <numFmt numFmtId="168" formatCode="&quot;$&quot;#,##0"/>
    <numFmt numFmtId="169" formatCode="General_)"/>
    <numFmt numFmtId="170" formatCode="0_);[Red]\(0\)"/>
    <numFmt numFmtId="171" formatCode="yy\-yy"/>
    <numFmt numFmtId="172" formatCode="mmm\-dd"/>
    <numFmt numFmtId="173" formatCode="mmm\-dd\,"/>
    <numFmt numFmtId="174" formatCode="mmm/yyyy"/>
    <numFmt numFmtId="175" formatCode="mmm\ \ yyyy"/>
    <numFmt numFmtId="176" formatCode="yyyy"/>
    <numFmt numFmtId="177" formatCode="yy"/>
    <numFmt numFmtId="178" formatCode="mmmm\ \ yyyy"/>
    <numFmt numFmtId="179" formatCode="&quot;Yes&quot;;&quot;Yes&quot;;&quot;No&quot;"/>
    <numFmt numFmtId="180" formatCode="&quot;True&quot;;&quot;True&quot;;&quot;False&quot;"/>
    <numFmt numFmtId="181" formatCode="&quot;On&quot;;&quot;On&quot;;&quot;Off&quot;"/>
    <numFmt numFmtId="182" formatCode="#,##0.00;[Red]#,##0.00"/>
    <numFmt numFmtId="183" formatCode="0000"/>
    <numFmt numFmtId="184" formatCode="[&lt;=9999999]###\-####;\(###\)\ ###\-####"/>
    <numFmt numFmtId="185" formatCode="00000"/>
    <numFmt numFmtId="186" formatCode="0_);\(0\)"/>
    <numFmt numFmtId="187" formatCode="0.00;[Red]0.00"/>
    <numFmt numFmtId="188" formatCode="[$€-2]\ #,##0.00_);[Red]\([$€-2]\ #,##0.00\)"/>
    <numFmt numFmtId="189" formatCode="&quot;$&quot;#,##0.0"/>
    <numFmt numFmtId="190" formatCode="[$-409]dddd\,\ mmmm\ d\,\ yyyy"/>
    <numFmt numFmtId="191" formatCode="[$-409]h:mm:ss\ AM/PM"/>
  </numFmts>
  <fonts count="127">
    <font>
      <sz val="10"/>
      <name val="Arial"/>
      <family val="0"/>
    </font>
    <font>
      <b/>
      <sz val="10"/>
      <name val="Arial"/>
      <family val="0"/>
    </font>
    <font>
      <i/>
      <sz val="10"/>
      <name val="Arial"/>
      <family val="0"/>
    </font>
    <font>
      <b/>
      <i/>
      <sz val="10"/>
      <name val="Arial"/>
      <family val="0"/>
    </font>
    <font>
      <sz val="10"/>
      <name val="Geneva"/>
      <family val="0"/>
    </font>
    <font>
      <b/>
      <sz val="14"/>
      <name val="Arial"/>
      <family val="2"/>
    </font>
    <font>
      <sz val="16"/>
      <name val="Arial"/>
      <family val="2"/>
    </font>
    <font>
      <sz val="12"/>
      <name val="Arial"/>
      <family val="2"/>
    </font>
    <font>
      <sz val="14"/>
      <name val="Arial"/>
      <family val="2"/>
    </font>
    <font>
      <b/>
      <sz val="24"/>
      <name val="Arial"/>
      <family val="2"/>
    </font>
    <font>
      <b/>
      <sz val="12"/>
      <name val="Arial"/>
      <family val="2"/>
    </font>
    <font>
      <b/>
      <sz val="16"/>
      <name val="Arial"/>
      <family val="2"/>
    </font>
    <font>
      <sz val="8"/>
      <name val="Arial"/>
      <family val="2"/>
    </font>
    <font>
      <b/>
      <sz val="18"/>
      <name val="Arial"/>
      <family val="2"/>
    </font>
    <font>
      <sz val="9"/>
      <name val="Arial"/>
      <family val="2"/>
    </font>
    <font>
      <b/>
      <sz val="9"/>
      <name val="Arial"/>
      <family val="2"/>
    </font>
    <font>
      <sz val="11"/>
      <name val="Arial"/>
      <family val="2"/>
    </font>
    <font>
      <b/>
      <sz val="8"/>
      <name val="Arial"/>
      <family val="2"/>
    </font>
    <font>
      <b/>
      <sz val="11"/>
      <name val="Arial"/>
      <family val="2"/>
    </font>
    <font>
      <b/>
      <sz val="10"/>
      <name val="Geneva"/>
      <family val="0"/>
    </font>
    <font>
      <sz val="9"/>
      <name val="Geneva"/>
      <family val="0"/>
    </font>
    <font>
      <sz val="9"/>
      <color indexed="10"/>
      <name val="Arial"/>
      <family val="2"/>
    </font>
    <font>
      <sz val="14"/>
      <color indexed="10"/>
      <name val="Arial"/>
      <family val="2"/>
    </font>
    <font>
      <b/>
      <sz val="20"/>
      <name val="Arial"/>
      <family val="2"/>
    </font>
    <font>
      <b/>
      <sz val="12"/>
      <color indexed="10"/>
      <name val="Arial"/>
      <family val="2"/>
    </font>
    <font>
      <sz val="14"/>
      <color indexed="18"/>
      <name val="Arial"/>
      <family val="2"/>
    </font>
    <font>
      <b/>
      <sz val="10"/>
      <color indexed="10"/>
      <name val="Arial"/>
      <family val="2"/>
    </font>
    <font>
      <b/>
      <sz val="10"/>
      <color indexed="18"/>
      <name val="Arial"/>
      <family val="2"/>
    </font>
    <font>
      <b/>
      <sz val="12"/>
      <color indexed="18"/>
      <name val="Arial"/>
      <family val="2"/>
    </font>
    <font>
      <sz val="13"/>
      <name val="Arial"/>
      <family val="2"/>
    </font>
    <font>
      <sz val="18"/>
      <name val="Arial"/>
      <family val="2"/>
    </font>
    <font>
      <b/>
      <u val="single"/>
      <sz val="12"/>
      <name val="Arial"/>
      <family val="2"/>
    </font>
    <font>
      <b/>
      <sz val="18"/>
      <color indexed="10"/>
      <name val="Arial"/>
      <family val="2"/>
    </font>
    <font>
      <sz val="18"/>
      <color indexed="10"/>
      <name val="Arial"/>
      <family val="2"/>
    </font>
    <font>
      <b/>
      <sz val="16"/>
      <color indexed="10"/>
      <name val="Arial"/>
      <family val="2"/>
    </font>
    <font>
      <b/>
      <sz val="20"/>
      <color indexed="10"/>
      <name val="Arial"/>
      <family val="2"/>
    </font>
    <font>
      <b/>
      <sz val="15"/>
      <color indexed="10"/>
      <name val="Arial"/>
      <family val="2"/>
    </font>
    <font>
      <b/>
      <sz val="11"/>
      <color indexed="10"/>
      <name val="Arial"/>
      <family val="2"/>
    </font>
    <font>
      <b/>
      <sz val="16"/>
      <color indexed="56"/>
      <name val="Arial"/>
      <family val="2"/>
    </font>
    <font>
      <b/>
      <sz val="12"/>
      <color indexed="56"/>
      <name val="Arial"/>
      <family val="2"/>
    </font>
    <font>
      <sz val="10"/>
      <color indexed="12"/>
      <name val="Arial"/>
      <family val="2"/>
    </font>
    <font>
      <u val="single"/>
      <sz val="10"/>
      <color indexed="12"/>
      <name val="Helv"/>
      <family val="0"/>
    </font>
    <font>
      <b/>
      <u val="single"/>
      <sz val="10"/>
      <name val="Arial"/>
      <family val="2"/>
    </font>
    <font>
      <b/>
      <sz val="14"/>
      <color indexed="10"/>
      <name val="Arial"/>
      <family val="2"/>
    </font>
    <font>
      <sz val="7"/>
      <name val="Arial"/>
      <family val="2"/>
    </font>
    <font>
      <b/>
      <sz val="18"/>
      <color indexed="12"/>
      <name val="Arial"/>
      <family val="2"/>
    </font>
    <font>
      <b/>
      <sz val="28"/>
      <name val="Arial"/>
      <family val="2"/>
    </font>
    <font>
      <sz val="10"/>
      <color indexed="10"/>
      <name val="Arial"/>
      <family val="2"/>
    </font>
    <font>
      <sz val="14"/>
      <color indexed="9"/>
      <name val="Arial"/>
      <family val="2"/>
    </font>
    <font>
      <sz val="9"/>
      <color indexed="9"/>
      <name val="Arial"/>
      <family val="2"/>
    </font>
    <font>
      <sz val="10"/>
      <color indexed="9"/>
      <name val="Arial"/>
      <family val="2"/>
    </font>
    <font>
      <b/>
      <sz val="9"/>
      <color indexed="10"/>
      <name val="Arial"/>
      <family val="2"/>
    </font>
    <font>
      <sz val="11"/>
      <name val="Geneva"/>
      <family val="0"/>
    </font>
    <font>
      <b/>
      <u val="single"/>
      <sz val="10"/>
      <color indexed="12"/>
      <name val="Arial"/>
      <family val="2"/>
    </font>
    <font>
      <sz val="11"/>
      <name val="Calibri"/>
      <family val="2"/>
    </font>
    <font>
      <sz val="11"/>
      <color indexed="8"/>
      <name val="Arial"/>
      <family val="2"/>
    </font>
    <font>
      <sz val="12"/>
      <color indexed="8"/>
      <name val="Arial"/>
      <family val="2"/>
    </font>
    <font>
      <u val="single"/>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4"/>
      <color indexed="8"/>
      <name val="Calibri"/>
      <family val="2"/>
    </font>
    <font>
      <b/>
      <sz val="16"/>
      <color indexed="8"/>
      <name val="Calibri"/>
      <family val="2"/>
    </font>
    <font>
      <b/>
      <sz val="16"/>
      <color indexed="8"/>
      <name val="Arial"/>
      <family val="2"/>
    </font>
    <font>
      <b/>
      <sz val="12"/>
      <color indexed="8"/>
      <name val="Calibri"/>
      <family val="2"/>
    </font>
    <font>
      <sz val="10"/>
      <color indexed="8"/>
      <name val="Segoe UI"/>
      <family val="2"/>
    </font>
    <font>
      <sz val="9"/>
      <color indexed="63"/>
      <name val="Segoe UI"/>
      <family val="2"/>
    </font>
    <font>
      <sz val="10"/>
      <color indexed="8"/>
      <name val="Calibri"/>
      <family val="2"/>
    </font>
    <font>
      <b/>
      <sz val="12"/>
      <color indexed="8"/>
      <name val="Arial"/>
      <family val="2"/>
    </font>
    <font>
      <b/>
      <i/>
      <u val="single"/>
      <sz val="12"/>
      <color indexed="8"/>
      <name val="Calibri"/>
      <family val="2"/>
    </font>
    <font>
      <b/>
      <sz val="26"/>
      <color indexed="8"/>
      <name val="Calibri"/>
      <family val="2"/>
    </font>
    <font>
      <sz val="8"/>
      <name val="Segoe UI"/>
      <family val="2"/>
    </font>
    <font>
      <b/>
      <sz val="11"/>
      <color indexed="8"/>
      <name val="Arial"/>
      <family val="0"/>
    </font>
    <font>
      <b/>
      <sz val="9"/>
      <color indexed="8"/>
      <name val="Arial"/>
      <family val="0"/>
    </font>
    <font>
      <sz val="8"/>
      <color indexed="8"/>
      <name val="Arial"/>
      <family val="0"/>
    </font>
    <font>
      <b/>
      <sz val="16"/>
      <color indexed="12"/>
      <name val="Arial"/>
      <family val="0"/>
    </font>
    <font>
      <b/>
      <sz val="14"/>
      <color indexed="8"/>
      <name val="Arial"/>
      <family val="0"/>
    </font>
    <font>
      <b/>
      <sz val="14"/>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4"/>
      <color rgb="FF000000"/>
      <name val="Calibri"/>
      <family val="2"/>
    </font>
    <font>
      <sz val="14"/>
      <color rgb="FF000000"/>
      <name val="Calibri"/>
      <family val="2"/>
    </font>
    <font>
      <b/>
      <sz val="18"/>
      <color rgb="FFFF0000"/>
      <name val="Arial"/>
      <family val="2"/>
    </font>
    <font>
      <b/>
      <sz val="16"/>
      <color rgb="FF000000"/>
      <name val="Calibri"/>
      <family val="2"/>
    </font>
    <font>
      <b/>
      <sz val="16"/>
      <color rgb="FF000000"/>
      <name val="Arial"/>
      <family val="2"/>
    </font>
    <font>
      <b/>
      <sz val="12"/>
      <color rgb="FF000000"/>
      <name val="Calibri"/>
      <family val="2"/>
    </font>
    <font>
      <sz val="10"/>
      <color rgb="FF000000"/>
      <name val="Segoe UI"/>
      <family val="2"/>
    </font>
    <font>
      <sz val="9"/>
      <color rgb="FF333333"/>
      <name val="Segoe UI"/>
      <family val="2"/>
    </font>
    <font>
      <sz val="10"/>
      <color rgb="FF000000"/>
      <name val="Calibri"/>
      <family val="2"/>
    </font>
    <font>
      <b/>
      <sz val="12"/>
      <color rgb="FF000000"/>
      <name val="Arial"/>
      <family val="2"/>
    </font>
    <font>
      <b/>
      <sz val="11"/>
      <color rgb="FF000000"/>
      <name val="Calibri"/>
      <family val="2"/>
    </font>
    <font>
      <b/>
      <i/>
      <u val="single"/>
      <sz val="12"/>
      <color rgb="FF000000"/>
      <name val="Calibri"/>
      <family val="2"/>
    </font>
    <font>
      <b/>
      <sz val="26"/>
      <color rgb="FF000000"/>
      <name val="Calibri"/>
      <family val="2"/>
    </font>
    <font>
      <b/>
      <sz val="12"/>
      <color rgb="FFFF0000"/>
      <name val="Arial"/>
      <family val="2"/>
    </font>
    <font>
      <b/>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7"/>
        <bgColor indexed="64"/>
      </patternFill>
    </fill>
    <fill>
      <patternFill patternType="gray125">
        <fgColor indexed="9"/>
        <bgColor indexed="47"/>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C99"/>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ck"/>
      <right style="thin"/>
      <top style="thin"/>
      <bottom style="thin"/>
    </border>
    <border>
      <left>
        <color indexed="63"/>
      </left>
      <right>
        <color indexed="63"/>
      </right>
      <top style="double"/>
      <bottom style="thin"/>
    </border>
    <border>
      <left style="medium"/>
      <right style="thin"/>
      <top style="thin"/>
      <bottom style="thin"/>
    </border>
    <border>
      <left>
        <color indexed="63"/>
      </left>
      <right style="thin"/>
      <top style="thin"/>
      <bottom style="double"/>
    </border>
    <border>
      <left>
        <color indexed="63"/>
      </left>
      <right>
        <color indexed="63"/>
      </right>
      <top>
        <color indexed="63"/>
      </top>
      <bottom style="double"/>
    </border>
    <border>
      <left style="medium"/>
      <right style="medium"/>
      <top style="double"/>
      <bottom style="medium"/>
    </border>
    <border>
      <left>
        <color indexed="63"/>
      </left>
      <right style="thin"/>
      <top style="thin"/>
      <bottom>
        <color indexed="63"/>
      </bottom>
    </border>
    <border>
      <left style="thin"/>
      <right style="thin"/>
      <top>
        <color indexed="63"/>
      </top>
      <bottom>
        <color indexed="63"/>
      </bottom>
    </border>
    <border>
      <left style="thin"/>
      <right style="medium"/>
      <top style="thin"/>
      <bottom style="thin"/>
    </border>
    <border>
      <left style="thin"/>
      <right style="medium"/>
      <top>
        <color indexed="63"/>
      </top>
      <bottom style="thin"/>
    </border>
    <border>
      <left style="thin"/>
      <right style="thin"/>
      <top style="thin"/>
      <bottom style="double"/>
    </border>
    <border>
      <left style="thin"/>
      <right>
        <color indexed="63"/>
      </right>
      <top style="thin"/>
      <bottom style="double"/>
    </border>
    <border>
      <left style="thin"/>
      <right style="thin"/>
      <top style="thin"/>
      <bottom style="thick"/>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thin"/>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thin"/>
    </border>
    <border>
      <left>
        <color indexed="63"/>
      </left>
      <right style="double">
        <color indexed="8"/>
      </right>
      <top>
        <color indexed="63"/>
      </top>
      <bottom style="thin"/>
    </border>
    <border>
      <left style="double">
        <color indexed="8"/>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double">
        <color indexed="8"/>
      </right>
      <top>
        <color indexed="63"/>
      </top>
      <bottom style="double"/>
    </border>
    <border>
      <left style="double">
        <color indexed="8"/>
      </left>
      <right>
        <color indexed="63"/>
      </right>
      <top style="double"/>
      <bottom style="double"/>
    </border>
    <border>
      <left>
        <color indexed="63"/>
      </left>
      <right style="double">
        <color indexed="8"/>
      </right>
      <top style="double"/>
      <bottom style="double"/>
    </border>
    <border>
      <left style="double">
        <color indexed="8"/>
      </left>
      <right>
        <color indexed="63"/>
      </right>
      <top style="double"/>
      <bottom style="thin"/>
    </border>
    <border>
      <left>
        <color indexed="63"/>
      </left>
      <right style="double">
        <color indexed="8"/>
      </right>
      <top style="double"/>
      <bottom style="thin"/>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thin"/>
      <right>
        <color indexed="63"/>
      </right>
      <top>
        <color indexed="63"/>
      </top>
      <bottom style="double">
        <color indexed="8"/>
      </bottom>
    </border>
    <border>
      <left>
        <color indexed="63"/>
      </left>
      <right style="double">
        <color indexed="8"/>
      </right>
      <top>
        <color indexed="63"/>
      </top>
      <bottom style="double">
        <color indexed="8"/>
      </bottom>
    </border>
    <border>
      <left style="thin"/>
      <right>
        <color indexed="63"/>
      </right>
      <top>
        <color indexed="63"/>
      </top>
      <bottom style="thick"/>
    </border>
    <border>
      <left>
        <color indexed="63"/>
      </left>
      <right>
        <color indexed="63"/>
      </right>
      <top>
        <color indexed="63"/>
      </top>
      <bottom style="thick"/>
    </border>
    <border>
      <left style="thin"/>
      <right style="thin"/>
      <top>
        <color indexed="63"/>
      </top>
      <bottom style="thick"/>
    </border>
    <border>
      <left style="thin"/>
      <right>
        <color indexed="63"/>
      </right>
      <top style="thin"/>
      <bottom style="thick"/>
    </border>
    <border>
      <left>
        <color indexed="63"/>
      </left>
      <right>
        <color indexed="63"/>
      </right>
      <top style="thin"/>
      <bottom style="thick"/>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medium"/>
      <top style="medium"/>
      <bottom style="medium"/>
    </border>
    <border>
      <left style="medium"/>
      <right style="thin"/>
      <top style="thin"/>
      <bottom style="double"/>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double"/>
      <bottom style="medium"/>
    </border>
    <border>
      <left>
        <color indexed="63"/>
      </left>
      <right style="thin"/>
      <top style="double"/>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double"/>
    </border>
    <border>
      <left>
        <color indexed="63"/>
      </left>
      <right>
        <color indexed="63"/>
      </right>
      <top style="thin"/>
      <bottom style="double"/>
    </border>
    <border>
      <left style="thick"/>
      <right>
        <color indexed="63"/>
      </right>
      <top>
        <color indexed="63"/>
      </top>
      <bottom style="thin"/>
    </border>
    <border>
      <left style="thick"/>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41"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4" fillId="0" borderId="0">
      <alignment/>
      <protection/>
    </xf>
    <xf numFmtId="0" fontId="0" fillId="0" borderId="0">
      <alignment/>
      <protection/>
    </xf>
    <xf numFmtId="0" fontId="4"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1056">
    <xf numFmtId="0" fontId="0" fillId="0" borderId="0" xfId="0" applyAlignment="1">
      <alignment/>
    </xf>
    <xf numFmtId="0" fontId="0" fillId="0" borderId="0" xfId="0" applyAlignment="1" applyProtection="1">
      <alignment/>
      <protection/>
    </xf>
    <xf numFmtId="0" fontId="7" fillId="0" borderId="0" xfId="57" applyFont="1" applyAlignment="1" applyProtection="1">
      <alignment horizontal="right"/>
      <protection/>
    </xf>
    <xf numFmtId="0" fontId="0" fillId="0" borderId="0" xfId="57" applyFont="1" applyProtection="1">
      <alignment/>
      <protection/>
    </xf>
    <xf numFmtId="0" fontId="5" fillId="0" borderId="10" xfId="57" applyNumberFormat="1" applyFont="1" applyBorder="1" applyAlignment="1" applyProtection="1">
      <alignment vertical="center"/>
      <protection/>
    </xf>
    <xf numFmtId="0" fontId="15" fillId="0" borderId="11" xfId="57" applyNumberFormat="1" applyFont="1" applyBorder="1" applyAlignment="1" applyProtection="1">
      <alignment vertical="center"/>
      <protection/>
    </xf>
    <xf numFmtId="0" fontId="15" fillId="0" borderId="12" xfId="57" applyNumberFormat="1" applyFont="1" applyBorder="1" applyAlignment="1" applyProtection="1">
      <alignment vertical="top"/>
      <protection/>
    </xf>
    <xf numFmtId="5" fontId="10" fillId="0" borderId="10" xfId="57" applyNumberFormat="1" applyFont="1" applyBorder="1" applyAlignment="1" applyProtection="1">
      <alignment horizontal="center" vertical="center"/>
      <protection/>
    </xf>
    <xf numFmtId="0" fontId="10" fillId="0" borderId="13" xfId="57" applyNumberFormat="1" applyFont="1" applyBorder="1" applyAlignment="1" applyProtection="1">
      <alignment horizontal="left" vertical="center"/>
      <protection/>
    </xf>
    <xf numFmtId="1" fontId="14" fillId="0" borderId="0" xfId="57" applyNumberFormat="1" applyFont="1" applyAlignment="1" applyProtection="1">
      <alignment horizontal="right" vertical="top"/>
      <protection/>
    </xf>
    <xf numFmtId="0" fontId="14" fillId="0" borderId="0" xfId="57" applyNumberFormat="1" applyFont="1" applyAlignment="1" applyProtection="1">
      <alignment horizontal="right" vertical="center" wrapText="1"/>
      <protection/>
    </xf>
    <xf numFmtId="0" fontId="0" fillId="0" borderId="14" xfId="57" applyNumberFormat="1" applyFont="1" applyBorder="1" applyAlignment="1" applyProtection="1">
      <alignment vertical="center" wrapText="1"/>
      <protection/>
    </xf>
    <xf numFmtId="0" fontId="7" fillId="0" borderId="13" xfId="57" applyNumberFormat="1" applyFont="1" applyBorder="1" applyAlignment="1" applyProtection="1">
      <alignment horizontal="left" vertical="center"/>
      <protection/>
    </xf>
    <xf numFmtId="5" fontId="0" fillId="0" borderId="0" xfId="57" applyNumberFormat="1" applyFont="1" applyBorder="1" applyAlignment="1" applyProtection="1">
      <alignment vertical="top"/>
      <protection/>
    </xf>
    <xf numFmtId="5" fontId="8" fillId="0" borderId="0" xfId="57" applyNumberFormat="1" applyFont="1" applyBorder="1" applyAlignment="1" applyProtection="1">
      <alignment horizontal="left" vertical="top"/>
      <protection/>
    </xf>
    <xf numFmtId="5" fontId="0" fillId="0" borderId="0" xfId="57" applyNumberFormat="1" applyFont="1" applyAlignment="1" applyProtection="1">
      <alignment vertical="top"/>
      <protection/>
    </xf>
    <xf numFmtId="0" fontId="0" fillId="0" borderId="0" xfId="57" applyFont="1" applyAlignment="1" applyProtection="1">
      <alignment horizontal="centerContinuous"/>
      <protection/>
    </xf>
    <xf numFmtId="0" fontId="14" fillId="0" borderId="0" xfId="59" applyFont="1">
      <alignment/>
      <protection/>
    </xf>
    <xf numFmtId="0" fontId="8" fillId="0" borderId="0" xfId="59" applyFont="1">
      <alignment/>
      <protection/>
    </xf>
    <xf numFmtId="0" fontId="0" fillId="0" borderId="0" xfId="59" applyFont="1">
      <alignment/>
      <protection/>
    </xf>
    <xf numFmtId="0" fontId="21" fillId="0" borderId="0" xfId="59" applyFont="1">
      <alignment/>
      <protection/>
    </xf>
    <xf numFmtId="0" fontId="22" fillId="0" borderId="0" xfId="59" applyFont="1" applyProtection="1">
      <alignment/>
      <protection hidden="1"/>
    </xf>
    <xf numFmtId="0" fontId="14" fillId="0" borderId="12" xfId="59" applyFont="1" applyBorder="1">
      <alignment/>
      <protection/>
    </xf>
    <xf numFmtId="0" fontId="0" fillId="0" borderId="12" xfId="59" applyFont="1" applyBorder="1">
      <alignment/>
      <protection/>
    </xf>
    <xf numFmtId="0" fontId="14" fillId="0" borderId="13" xfId="59" applyFont="1" applyBorder="1">
      <alignment/>
      <protection/>
    </xf>
    <xf numFmtId="0" fontId="0" fillId="0" borderId="0" xfId="0" applyFont="1" applyBorder="1" applyAlignment="1">
      <alignment/>
    </xf>
    <xf numFmtId="0" fontId="0" fillId="0" borderId="0" xfId="0" applyBorder="1" applyAlignment="1" applyProtection="1">
      <alignment/>
      <protection/>
    </xf>
    <xf numFmtId="0" fontId="10" fillId="0" borderId="0" xfId="0" applyFont="1" applyBorder="1" applyAlignment="1">
      <alignment/>
    </xf>
    <xf numFmtId="0" fontId="0" fillId="0" borderId="12" xfId="0" applyFont="1" applyBorder="1" applyAlignment="1">
      <alignment/>
    </xf>
    <xf numFmtId="0" fontId="25" fillId="0" borderId="15" xfId="59" applyFont="1" applyBorder="1" applyAlignment="1" applyProtection="1">
      <alignment horizontal="center" vertical="center"/>
      <protection hidden="1"/>
    </xf>
    <xf numFmtId="170" fontId="24" fillId="0" borderId="0" xfId="59" applyNumberFormat="1" applyFont="1" applyAlignment="1">
      <alignment vertical="center"/>
      <protection/>
    </xf>
    <xf numFmtId="0" fontId="1" fillId="0" borderId="16" xfId="59" applyFont="1" applyBorder="1" applyAlignment="1" applyProtection="1">
      <alignment horizontal="center" vertical="center"/>
      <protection/>
    </xf>
    <xf numFmtId="0" fontId="10" fillId="0" borderId="16" xfId="59" applyFont="1" applyBorder="1" applyAlignment="1" applyProtection="1">
      <alignment horizontal="center" vertical="center"/>
      <protection/>
    </xf>
    <xf numFmtId="0" fontId="10" fillId="0" borderId="0" xfId="59" applyFont="1" applyAlignment="1" applyProtection="1">
      <alignment horizontal="left" vertical="center"/>
      <protection/>
    </xf>
    <xf numFmtId="0" fontId="18" fillId="0" borderId="10" xfId="59" applyFont="1" applyBorder="1" applyAlignment="1" applyProtection="1">
      <alignment horizontal="center" vertical="center"/>
      <protection/>
    </xf>
    <xf numFmtId="0" fontId="18" fillId="0" borderId="11" xfId="59" applyFont="1" applyBorder="1" applyAlignment="1" applyProtection="1">
      <alignment horizontal="center" vertical="center"/>
      <protection/>
    </xf>
    <xf numFmtId="0" fontId="8" fillId="0" borderId="15" xfId="59" applyFont="1" applyBorder="1" applyAlignment="1" applyProtection="1">
      <alignment horizontal="center" vertical="center"/>
      <protection/>
    </xf>
    <xf numFmtId="0" fontId="12" fillId="0" borderId="0" xfId="59" applyFont="1" applyBorder="1" applyAlignment="1" applyProtection="1">
      <alignment horizontal="center" wrapText="1"/>
      <protection/>
    </xf>
    <xf numFmtId="0" fontId="0" fillId="0" borderId="0" xfId="0" applyAlignment="1" applyProtection="1">
      <alignment/>
      <protection locked="0"/>
    </xf>
    <xf numFmtId="0" fontId="14" fillId="0" borderId="0" xfId="59" applyFont="1" applyProtection="1">
      <alignment/>
      <protection/>
    </xf>
    <xf numFmtId="0" fontId="24" fillId="0" borderId="0" xfId="59" applyNumberFormat="1" applyFont="1" applyAlignment="1" applyProtection="1">
      <alignment vertical="center"/>
      <protection/>
    </xf>
    <xf numFmtId="0" fontId="14" fillId="0" borderId="0" xfId="59" applyFont="1" applyProtection="1">
      <alignment/>
      <protection locked="0"/>
    </xf>
    <xf numFmtId="5" fontId="8" fillId="0" borderId="0" xfId="57" applyNumberFormat="1" applyFont="1" applyBorder="1" applyAlignment="1" applyProtection="1">
      <alignment horizontal="left" vertical="center"/>
      <protection/>
    </xf>
    <xf numFmtId="5" fontId="1" fillId="0" borderId="10" xfId="57" applyNumberFormat="1" applyFont="1" applyBorder="1" applyAlignment="1" applyProtection="1">
      <alignment vertical="top"/>
      <protection/>
    </xf>
    <xf numFmtId="5" fontId="0" fillId="0" borderId="0" xfId="0" applyNumberFormat="1" applyAlignment="1" applyProtection="1">
      <alignment/>
      <protection/>
    </xf>
    <xf numFmtId="1" fontId="0" fillId="0" borderId="0" xfId="0" applyNumberFormat="1" applyAlignment="1" applyProtection="1">
      <alignment/>
      <protection/>
    </xf>
    <xf numFmtId="2" fontId="0" fillId="0" borderId="0" xfId="57" applyNumberFormat="1" applyFont="1" applyBorder="1" applyAlignment="1" applyProtection="1">
      <alignment horizontal="center" vertical="center"/>
      <protection/>
    </xf>
    <xf numFmtId="2" fontId="0" fillId="0" borderId="0" xfId="0" applyNumberFormat="1" applyAlignment="1" applyProtection="1">
      <alignment/>
      <protection/>
    </xf>
    <xf numFmtId="1" fontId="6" fillId="0" borderId="0" xfId="57" applyNumberFormat="1" applyFont="1" applyBorder="1" applyAlignment="1" applyProtection="1">
      <alignment horizontal="center" vertical="center"/>
      <protection/>
    </xf>
    <xf numFmtId="5" fontId="14" fillId="0" borderId="0" xfId="57" applyNumberFormat="1" applyFont="1" applyBorder="1" applyAlignment="1" applyProtection="1">
      <alignment horizontal="centerContinuous" vertical="center"/>
      <protection/>
    </xf>
    <xf numFmtId="0" fontId="1" fillId="0" borderId="0" xfId="57" applyNumberFormat="1" applyFont="1" applyAlignment="1" applyProtection="1">
      <alignment horizontal="centerContinuous" vertical="center"/>
      <protection/>
    </xf>
    <xf numFmtId="0" fontId="10" fillId="0" borderId="17" xfId="59" applyFont="1" applyBorder="1" applyAlignment="1" applyProtection="1">
      <alignment vertical="center"/>
      <protection/>
    </xf>
    <xf numFmtId="0" fontId="18" fillId="0" borderId="18" xfId="59" applyFont="1" applyBorder="1" applyAlignment="1" applyProtection="1">
      <alignment horizontal="center" vertical="center"/>
      <protection/>
    </xf>
    <xf numFmtId="170" fontId="10" fillId="0" borderId="12" xfId="59" applyNumberFormat="1" applyFont="1" applyBorder="1" applyAlignment="1">
      <alignment vertical="center"/>
      <protection/>
    </xf>
    <xf numFmtId="0" fontId="24" fillId="0" borderId="0" xfId="59" applyFont="1" applyBorder="1" applyAlignment="1" applyProtection="1">
      <alignment horizontal="right" vertical="center"/>
      <protection/>
    </xf>
    <xf numFmtId="0" fontId="14" fillId="0" borderId="0" xfId="59" applyFont="1" applyBorder="1">
      <alignment/>
      <protection/>
    </xf>
    <xf numFmtId="5" fontId="14" fillId="0" borderId="19" xfId="57" applyNumberFormat="1" applyFont="1" applyBorder="1" applyAlignment="1" applyProtection="1">
      <alignment vertical="top"/>
      <protection/>
    </xf>
    <xf numFmtId="0" fontId="30" fillId="0" borderId="0" xfId="57" applyFont="1" applyAlignment="1" applyProtection="1">
      <alignment horizontal="right"/>
      <protection/>
    </xf>
    <xf numFmtId="0" fontId="37" fillId="0" borderId="19" xfId="59" applyFont="1" applyBorder="1" applyAlignment="1" applyProtection="1">
      <alignment vertical="top"/>
      <protection/>
    </xf>
    <xf numFmtId="0" fontId="36" fillId="0" borderId="13" xfId="59" applyFont="1" applyBorder="1" applyAlignment="1" applyProtection="1">
      <alignment horizontal="left" vertical="center"/>
      <protection/>
    </xf>
    <xf numFmtId="0" fontId="7" fillId="0" borderId="0" xfId="0" applyFont="1" applyAlignment="1" applyProtection="1">
      <alignment horizontal="right"/>
      <protection/>
    </xf>
    <xf numFmtId="0" fontId="25" fillId="0" borderId="20" xfId="59" applyFont="1" applyBorder="1" applyAlignment="1" applyProtection="1">
      <alignment horizontal="center" vertical="center" shrinkToFit="1"/>
      <protection hidden="1"/>
    </xf>
    <xf numFmtId="0" fontId="25" fillId="0" borderId="15" xfId="59" applyFont="1" applyBorder="1" applyAlignment="1" applyProtection="1">
      <alignment horizontal="center" vertical="center" shrinkToFit="1"/>
      <protection hidden="1"/>
    </xf>
    <xf numFmtId="5" fontId="42" fillId="0" borderId="0" xfId="0" applyNumberFormat="1" applyFont="1" applyAlignment="1" applyProtection="1">
      <alignment/>
      <protection/>
    </xf>
    <xf numFmtId="0" fontId="15" fillId="33" borderId="16" xfId="57" applyNumberFormat="1" applyFont="1" applyFill="1" applyBorder="1" applyAlignment="1" applyProtection="1">
      <alignment vertical="top"/>
      <protection/>
    </xf>
    <xf numFmtId="0" fontId="13" fillId="33" borderId="17" xfId="57" applyNumberFormat="1" applyFont="1" applyFill="1" applyBorder="1" applyAlignment="1" applyProtection="1">
      <alignment vertical="top"/>
      <protection/>
    </xf>
    <xf numFmtId="0" fontId="15" fillId="33" borderId="17" xfId="57" applyNumberFormat="1" applyFont="1" applyFill="1" applyBorder="1" applyAlignment="1" applyProtection="1">
      <alignment vertical="top"/>
      <protection/>
    </xf>
    <xf numFmtId="5" fontId="15" fillId="33" borderId="16" xfId="57" applyNumberFormat="1" applyFont="1" applyFill="1" applyBorder="1" applyAlignment="1" applyProtection="1">
      <alignment horizontal="right" vertical="top"/>
      <protection/>
    </xf>
    <xf numFmtId="5" fontId="14" fillId="33" borderId="15" xfId="57" applyNumberFormat="1" applyFont="1" applyFill="1" applyBorder="1" applyAlignment="1" applyProtection="1">
      <alignment vertical="top"/>
      <protection/>
    </xf>
    <xf numFmtId="0" fontId="32" fillId="33" borderId="21" xfId="0" applyNumberFormat="1" applyFont="1" applyFill="1" applyBorder="1" applyAlignment="1" applyProtection="1">
      <alignment horizontal="left" vertical="center"/>
      <protection/>
    </xf>
    <xf numFmtId="0" fontId="7" fillId="33" borderId="22" xfId="57" applyFont="1" applyFill="1" applyBorder="1" applyAlignment="1" applyProtection="1">
      <alignment horizontal="left"/>
      <protection/>
    </xf>
    <xf numFmtId="0" fontId="32" fillId="33" borderId="13" xfId="0" applyNumberFormat="1" applyFont="1" applyFill="1" applyBorder="1" applyAlignment="1" applyProtection="1">
      <alignment horizontal="left" vertical="top"/>
      <protection/>
    </xf>
    <xf numFmtId="0" fontId="0" fillId="33" borderId="12" xfId="0" applyFont="1" applyFill="1" applyBorder="1" applyAlignment="1" applyProtection="1">
      <alignment/>
      <protection/>
    </xf>
    <xf numFmtId="0" fontId="14" fillId="33" borderId="12" xfId="57" applyNumberFormat="1" applyFont="1" applyFill="1" applyBorder="1" applyAlignment="1" applyProtection="1">
      <alignment vertical="top"/>
      <protection/>
    </xf>
    <xf numFmtId="0" fontId="14" fillId="0" borderId="0" xfId="59" applyFont="1" applyAlignment="1">
      <alignment horizontal="center" vertical="top"/>
      <protection/>
    </xf>
    <xf numFmtId="0" fontId="14" fillId="0" borderId="0" xfId="59" applyFont="1" applyAlignment="1">
      <alignment horizontal="left"/>
      <protection/>
    </xf>
    <xf numFmtId="0" fontId="25" fillId="0" borderId="15" xfId="59" applyFont="1" applyBorder="1" applyAlignment="1" applyProtection="1">
      <alignment horizontal="center"/>
      <protection hidden="1"/>
    </xf>
    <xf numFmtId="0" fontId="14" fillId="0" borderId="0" xfId="59" applyFont="1" applyBorder="1" applyProtection="1">
      <alignment/>
      <protection/>
    </xf>
    <xf numFmtId="0" fontId="8" fillId="0" borderId="15" xfId="59" applyFont="1" applyBorder="1" applyAlignment="1" applyProtection="1">
      <alignment horizontal="center" vertical="top"/>
      <protection/>
    </xf>
    <xf numFmtId="0" fontId="14" fillId="0" borderId="17" xfId="59" applyFont="1" applyBorder="1" applyAlignment="1" applyProtection="1">
      <alignment horizontal="left"/>
      <protection/>
    </xf>
    <xf numFmtId="0" fontId="14" fillId="0" borderId="17" xfId="59" applyFont="1" applyBorder="1" applyProtection="1">
      <alignment/>
      <protection/>
    </xf>
    <xf numFmtId="0" fontId="10" fillId="0" borderId="0" xfId="59" applyFont="1" applyBorder="1" applyAlignment="1" applyProtection="1">
      <alignment horizontal="centerContinuous" vertical="top"/>
      <protection/>
    </xf>
    <xf numFmtId="0" fontId="0" fillId="0" borderId="0" xfId="59" applyFont="1" applyProtection="1">
      <alignment/>
      <protection/>
    </xf>
    <xf numFmtId="0" fontId="11" fillId="0" borderId="12" xfId="59" applyFont="1" applyBorder="1" applyAlignment="1" applyProtection="1">
      <alignment horizontal="left" vertical="center"/>
      <protection/>
    </xf>
    <xf numFmtId="0" fontId="11" fillId="0" borderId="12" xfId="59" applyFont="1" applyBorder="1" applyAlignment="1" applyProtection="1">
      <alignment horizontal="centerContinuous" vertical="center"/>
      <protection/>
    </xf>
    <xf numFmtId="0" fontId="0" fillId="0" borderId="0" xfId="59" applyFont="1" applyFill="1" applyBorder="1" applyProtection="1">
      <alignment/>
      <protection/>
    </xf>
    <xf numFmtId="0" fontId="11" fillId="0" borderId="16" xfId="59" applyFont="1" applyBorder="1" applyAlignment="1" applyProtection="1">
      <alignment horizontal="centerContinuous" vertical="center"/>
      <protection/>
    </xf>
    <xf numFmtId="0" fontId="0" fillId="0" borderId="0" xfId="59" applyFont="1" applyBorder="1" applyAlignment="1" applyProtection="1">
      <alignment horizontal="left"/>
      <protection/>
    </xf>
    <xf numFmtId="0" fontId="44" fillId="0" borderId="20" xfId="59" applyFont="1" applyBorder="1" applyAlignment="1" applyProtection="1">
      <alignment horizontal="left" vertical="top"/>
      <protection/>
    </xf>
    <xf numFmtId="0" fontId="0" fillId="0" borderId="0" xfId="59" applyFont="1" applyAlignment="1" applyProtection="1">
      <alignment horizontal="left"/>
      <protection/>
    </xf>
    <xf numFmtId="170" fontId="14" fillId="0" borderId="0" xfId="59" applyNumberFormat="1" applyFont="1">
      <alignment/>
      <protection/>
    </xf>
    <xf numFmtId="0" fontId="17" fillId="0" borderId="16" xfId="59" applyFont="1" applyBorder="1" applyAlignment="1" applyProtection="1">
      <alignment horizontal="left" vertical="center"/>
      <protection/>
    </xf>
    <xf numFmtId="0" fontId="17" fillId="0" borderId="16" xfId="59" applyFont="1" applyBorder="1" applyAlignment="1" applyProtection="1">
      <alignment horizontal="centerContinuous" vertical="center"/>
      <protection/>
    </xf>
    <xf numFmtId="0" fontId="17" fillId="0" borderId="18" xfId="59" applyFont="1" applyBorder="1" applyAlignment="1" applyProtection="1">
      <alignment horizontal="centerContinuous" vertical="center"/>
      <protection/>
    </xf>
    <xf numFmtId="170" fontId="14" fillId="0" borderId="0" xfId="59" applyNumberFormat="1" applyFont="1" applyAlignment="1">
      <alignment horizontal="left" vertical="top"/>
      <protection/>
    </xf>
    <xf numFmtId="0" fontId="0" fillId="0" borderId="0" xfId="59" applyFont="1" applyBorder="1" applyProtection="1">
      <alignment/>
      <protection/>
    </xf>
    <xf numFmtId="0" fontId="0" fillId="0" borderId="12" xfId="59" applyFont="1" applyBorder="1" applyAlignment="1" applyProtection="1">
      <alignment horizontal="left" vertical="center"/>
      <protection/>
    </xf>
    <xf numFmtId="0" fontId="17" fillId="0" borderId="12" xfId="59" applyFont="1" applyBorder="1" applyAlignment="1" applyProtection="1">
      <alignment horizontal="centerContinuous" vertical="center"/>
      <protection/>
    </xf>
    <xf numFmtId="0" fontId="18" fillId="0" borderId="18" xfId="59" applyFont="1" applyBorder="1" applyAlignment="1" applyProtection="1">
      <alignment horizontal="centerContinuous" vertical="center"/>
      <protection/>
    </xf>
    <xf numFmtId="0" fontId="8" fillId="0" borderId="13" xfId="59" applyFont="1" applyBorder="1" applyAlignment="1" applyProtection="1">
      <alignment vertical="top"/>
      <protection/>
    </xf>
    <xf numFmtId="0" fontId="13" fillId="0" borderId="16" xfId="59" applyFont="1" applyBorder="1" applyAlignment="1" applyProtection="1">
      <alignment horizontal="centerContinuous"/>
      <protection/>
    </xf>
    <xf numFmtId="0" fontId="0" fillId="0" borderId="16" xfId="59" applyFont="1" applyBorder="1" applyAlignment="1" applyProtection="1">
      <alignment horizontal="left"/>
      <protection/>
    </xf>
    <xf numFmtId="0" fontId="0" fillId="0" borderId="16" xfId="59" applyFont="1" applyBorder="1" applyAlignment="1" applyProtection="1">
      <alignment horizontal="center"/>
      <protection/>
    </xf>
    <xf numFmtId="0" fontId="18" fillId="0" borderId="16" xfId="59" applyFont="1" applyBorder="1" applyAlignment="1" applyProtection="1">
      <alignment horizontal="center" vertical="center"/>
      <protection/>
    </xf>
    <xf numFmtId="0" fontId="18" fillId="0" borderId="12" xfId="59" applyFont="1" applyBorder="1" applyAlignment="1" applyProtection="1">
      <alignment horizontal="center" vertical="center"/>
      <protection/>
    </xf>
    <xf numFmtId="0" fontId="18" fillId="0" borderId="20" xfId="59" applyFont="1" applyBorder="1" applyAlignment="1" applyProtection="1">
      <alignment horizontal="center" vertical="center"/>
      <protection/>
    </xf>
    <xf numFmtId="0" fontId="0" fillId="0" borderId="0" xfId="59" applyFont="1" applyBorder="1" applyAlignment="1">
      <alignment horizontal="center" vertical="center"/>
      <protection/>
    </xf>
    <xf numFmtId="0" fontId="0" fillId="0" borderId="0" xfId="59" applyFont="1" applyBorder="1" applyAlignment="1">
      <alignment vertical="center"/>
      <protection/>
    </xf>
    <xf numFmtId="0" fontId="0" fillId="0" borderId="0" xfId="59" applyFont="1" applyBorder="1" applyAlignment="1">
      <alignment horizontal="left" vertical="center"/>
      <protection/>
    </xf>
    <xf numFmtId="0" fontId="0" fillId="0" borderId="0" xfId="59" applyFont="1" applyBorder="1" applyAlignment="1" applyProtection="1">
      <alignment vertical="center"/>
      <protection/>
    </xf>
    <xf numFmtId="0" fontId="0" fillId="0" borderId="0" xfId="59" applyFont="1" applyAlignment="1" applyProtection="1">
      <alignment/>
      <protection/>
    </xf>
    <xf numFmtId="0" fontId="0" fillId="0" borderId="0" xfId="59" applyFont="1" applyAlignment="1">
      <alignment horizontal="left"/>
      <protection/>
    </xf>
    <xf numFmtId="0" fontId="14" fillId="0" borderId="0" xfId="59" applyFont="1" applyAlignment="1">
      <alignment horizontal="center"/>
      <protection/>
    </xf>
    <xf numFmtId="0" fontId="44" fillId="34" borderId="0" xfId="59" applyFont="1" applyFill="1" applyBorder="1" applyAlignment="1" applyProtection="1">
      <alignment horizontal="left" vertical="top"/>
      <protection/>
    </xf>
    <xf numFmtId="0" fontId="44" fillId="34" borderId="14" xfId="59" applyFont="1" applyFill="1" applyBorder="1" applyAlignment="1" applyProtection="1">
      <alignment horizontal="left" vertical="top"/>
      <protection/>
    </xf>
    <xf numFmtId="0" fontId="14" fillId="35" borderId="19" xfId="59" applyFont="1" applyFill="1" applyBorder="1" applyAlignment="1" applyProtection="1">
      <alignment horizontal="center" vertical="top"/>
      <protection/>
    </xf>
    <xf numFmtId="0" fontId="14" fillId="35" borderId="20" xfId="59" applyFont="1" applyFill="1" applyBorder="1" applyAlignment="1" applyProtection="1">
      <alignment horizontal="center" vertical="top"/>
      <protection/>
    </xf>
    <xf numFmtId="0" fontId="12" fillId="34" borderId="13" xfId="59" applyFont="1" applyFill="1" applyBorder="1" applyAlignment="1" applyProtection="1">
      <alignment horizontal="left" vertical="top"/>
      <protection/>
    </xf>
    <xf numFmtId="0" fontId="0" fillId="34" borderId="14" xfId="59" applyFont="1" applyFill="1" applyBorder="1" applyAlignment="1" applyProtection="1">
      <alignment horizontal="center"/>
      <protection/>
    </xf>
    <xf numFmtId="0" fontId="0" fillId="34" borderId="0" xfId="59" applyFont="1" applyFill="1" applyBorder="1" applyProtection="1">
      <alignment/>
      <protection/>
    </xf>
    <xf numFmtId="0" fontId="0" fillId="34" borderId="14" xfId="59" applyFont="1" applyFill="1" applyBorder="1" applyProtection="1">
      <alignment/>
      <protection/>
    </xf>
    <xf numFmtId="0" fontId="0" fillId="34" borderId="19" xfId="59" applyFont="1" applyFill="1" applyBorder="1" applyProtection="1">
      <alignment/>
      <protection/>
    </xf>
    <xf numFmtId="0" fontId="0" fillId="34" borderId="20" xfId="59" applyFont="1" applyFill="1" applyBorder="1" applyProtection="1">
      <alignment/>
      <protection/>
    </xf>
    <xf numFmtId="0" fontId="5" fillId="0" borderId="0" xfId="0" applyFont="1" applyBorder="1" applyAlignment="1" applyProtection="1">
      <alignment horizontal="center"/>
      <protection/>
    </xf>
    <xf numFmtId="0" fontId="0" fillId="0" borderId="0" xfId="59" applyFont="1" applyProtection="1">
      <alignment/>
      <protection locked="0"/>
    </xf>
    <xf numFmtId="0" fontId="8" fillId="0" borderId="15" xfId="59" applyFont="1" applyBorder="1" applyAlignment="1" applyProtection="1">
      <alignment horizontal="center" vertical="center"/>
      <protection hidden="1"/>
    </xf>
    <xf numFmtId="0" fontId="5" fillId="0" borderId="19" xfId="59" applyFont="1" applyBorder="1" applyAlignment="1" applyProtection="1">
      <alignment horizontal="center" vertical="center"/>
      <protection/>
    </xf>
    <xf numFmtId="0" fontId="8" fillId="0" borderId="12" xfId="0" applyFont="1" applyBorder="1" applyAlignment="1" applyProtection="1">
      <alignment horizontal="center"/>
      <protection/>
    </xf>
    <xf numFmtId="0" fontId="8" fillId="0" borderId="19" xfId="0" applyFont="1" applyBorder="1" applyAlignment="1" applyProtection="1">
      <alignment horizontal="center"/>
      <protection/>
    </xf>
    <xf numFmtId="2" fontId="8" fillId="0" borderId="0" xfId="57" applyNumberFormat="1" applyFont="1" applyBorder="1" applyAlignment="1" applyProtection="1">
      <alignment horizontal="centerContinuous" vertical="center"/>
      <protection/>
    </xf>
    <xf numFmtId="0" fontId="11" fillId="0" borderId="10" xfId="59" applyFont="1" applyBorder="1" applyAlignment="1" applyProtection="1">
      <alignment horizontal="center" vertical="center"/>
      <protection/>
    </xf>
    <xf numFmtId="0" fontId="11" fillId="0" borderId="13" xfId="59" applyFont="1" applyBorder="1" applyAlignment="1" applyProtection="1">
      <alignment horizontal="left" vertical="top"/>
      <protection/>
    </xf>
    <xf numFmtId="0" fontId="18" fillId="0" borderId="23" xfId="59" applyFont="1" applyBorder="1" applyAlignment="1" applyProtection="1">
      <alignment horizontal="center" vertical="center"/>
      <protection/>
    </xf>
    <xf numFmtId="0" fontId="5" fillId="0" borderId="0" xfId="59" applyFont="1" applyAlignment="1" applyProtection="1">
      <alignment horizontal="right" vertical="center"/>
      <protection/>
    </xf>
    <xf numFmtId="0" fontId="46" fillId="0" borderId="22" xfId="57" applyFont="1" applyBorder="1" applyAlignment="1" applyProtection="1">
      <alignment horizontal="center" vertical="center" shrinkToFit="1"/>
      <protection locked="0"/>
    </xf>
    <xf numFmtId="0" fontId="8" fillId="0" borderId="19" xfId="59" applyFont="1" applyBorder="1" applyAlignment="1" applyProtection="1">
      <alignment horizontal="center" vertical="center" shrinkToFit="1"/>
      <protection hidden="1"/>
    </xf>
    <xf numFmtId="0" fontId="7" fillId="0" borderId="17" xfId="59" applyFont="1" applyBorder="1" applyAlignment="1" applyProtection="1">
      <alignment horizontal="center" vertical="center"/>
      <protection/>
    </xf>
    <xf numFmtId="0" fontId="10" fillId="0" borderId="0" xfId="0" applyFont="1" applyAlignment="1" applyProtection="1">
      <alignment/>
      <protection/>
    </xf>
    <xf numFmtId="0" fontId="24" fillId="36" borderId="24" xfId="0" applyFont="1" applyFill="1" applyBorder="1" applyAlignment="1" applyProtection="1">
      <alignment horizontal="right" vertical="center"/>
      <protection hidden="1"/>
    </xf>
    <xf numFmtId="0" fontId="11" fillId="0" borderId="16" xfId="59" applyFont="1" applyBorder="1" applyAlignment="1" applyProtection="1">
      <alignment horizontal="centerContinuous"/>
      <protection/>
    </xf>
    <xf numFmtId="49" fontId="11" fillId="0" borderId="11" xfId="59" applyNumberFormat="1" applyFont="1" applyBorder="1" applyAlignment="1" applyProtection="1">
      <alignment horizontal="center" vertical="center"/>
      <protection locked="0"/>
    </xf>
    <xf numFmtId="49" fontId="11" fillId="0" borderId="10" xfId="59" applyNumberFormat="1" applyFont="1" applyBorder="1" applyAlignment="1" applyProtection="1">
      <alignment horizontal="center" vertical="center"/>
      <protection locked="0"/>
    </xf>
    <xf numFmtId="49" fontId="11" fillId="0" borderId="11" xfId="59" applyNumberFormat="1" applyFont="1" applyBorder="1" applyAlignment="1" applyProtection="1">
      <alignment horizontal="center" vertical="center" shrinkToFit="1"/>
      <protection locked="0"/>
    </xf>
    <xf numFmtId="0" fontId="18" fillId="0" borderId="11" xfId="59" applyFont="1" applyBorder="1" applyAlignment="1" applyProtection="1">
      <alignment horizontal="center" vertical="center" shrinkToFit="1"/>
      <protection/>
    </xf>
    <xf numFmtId="0" fontId="18" fillId="0" borderId="10" xfId="59" applyFont="1" applyBorder="1" applyAlignment="1" applyProtection="1">
      <alignment horizontal="center" vertical="center" shrinkToFit="1"/>
      <protection/>
    </xf>
    <xf numFmtId="0" fontId="27" fillId="0" borderId="0" xfId="59" applyFont="1" applyBorder="1" applyAlignment="1" applyProtection="1">
      <alignment vertical="center"/>
      <protection/>
    </xf>
    <xf numFmtId="0" fontId="26" fillId="0" borderId="0" xfId="59" applyFont="1" applyAlignment="1" applyProtection="1">
      <alignment vertical="center"/>
      <protection hidden="1"/>
    </xf>
    <xf numFmtId="0" fontId="26" fillId="0" borderId="0" xfId="59" applyFont="1" applyAlignment="1" applyProtection="1">
      <alignment horizontal="right" vertical="center"/>
      <protection hidden="1"/>
    </xf>
    <xf numFmtId="49" fontId="16" fillId="0" borderId="10" xfId="59" applyNumberFormat="1" applyFont="1" applyBorder="1" applyAlignment="1" applyProtection="1">
      <alignment horizontal="center" vertical="center" shrinkToFit="1"/>
      <protection locked="0"/>
    </xf>
    <xf numFmtId="0" fontId="5" fillId="0" borderId="10" xfId="59" applyFont="1" applyBorder="1" applyAlignment="1" applyProtection="1">
      <alignment horizontal="center" vertical="center"/>
      <protection/>
    </xf>
    <xf numFmtId="0" fontId="5" fillId="0" borderId="16" xfId="59" applyFont="1" applyBorder="1" applyAlignment="1" applyProtection="1">
      <alignment horizontal="center" vertical="center"/>
      <protection/>
    </xf>
    <xf numFmtId="0" fontId="5" fillId="0" borderId="11" xfId="59" applyFont="1" applyBorder="1" applyAlignment="1" applyProtection="1">
      <alignment horizontal="center" vertical="center"/>
      <protection/>
    </xf>
    <xf numFmtId="0" fontId="1" fillId="0" borderId="0" xfId="0" applyFont="1" applyAlignment="1">
      <alignment vertical="center"/>
    </xf>
    <xf numFmtId="0" fontId="15" fillId="37" borderId="10" xfId="59" applyFont="1" applyFill="1" applyBorder="1" applyAlignment="1" applyProtection="1">
      <alignment horizontal="center" vertical="center" wrapText="1"/>
      <protection/>
    </xf>
    <xf numFmtId="0" fontId="1" fillId="38" borderId="11" xfId="59" applyFont="1" applyFill="1" applyBorder="1" applyAlignment="1" applyProtection="1">
      <alignment horizontal="center" vertical="center" wrapText="1"/>
      <protection/>
    </xf>
    <xf numFmtId="0" fontId="1" fillId="36" borderId="10" xfId="59" applyFont="1" applyFill="1" applyBorder="1" applyAlignment="1" applyProtection="1">
      <alignment horizontal="center" vertical="center" wrapText="1"/>
      <protection/>
    </xf>
    <xf numFmtId="0" fontId="11" fillId="0" borderId="0" xfId="59" applyFont="1" applyFill="1" applyBorder="1" applyProtection="1">
      <alignment/>
      <protection/>
    </xf>
    <xf numFmtId="0" fontId="14" fillId="0" borderId="0" xfId="59" applyFont="1" applyFill="1" applyBorder="1" applyProtection="1">
      <alignment/>
      <protection/>
    </xf>
    <xf numFmtId="49" fontId="11" fillId="0" borderId="23" xfId="59" applyNumberFormat="1" applyFont="1" applyBorder="1" applyAlignment="1" applyProtection="1">
      <alignment horizontal="center" vertical="center" shrinkToFit="1"/>
      <protection locked="0"/>
    </xf>
    <xf numFmtId="0" fontId="5" fillId="0" borderId="11" xfId="59" applyFont="1" applyBorder="1" applyAlignment="1" applyProtection="1">
      <alignment horizontal="centerContinuous" vertical="center"/>
      <protection/>
    </xf>
    <xf numFmtId="0" fontId="43" fillId="0" borderId="0" xfId="59" applyFont="1" applyBorder="1" applyAlignment="1" applyProtection="1">
      <alignment horizontal="right" vertical="center"/>
      <protection/>
    </xf>
    <xf numFmtId="0" fontId="1" fillId="34" borderId="10" xfId="59" applyFont="1" applyFill="1" applyBorder="1" applyAlignment="1" applyProtection="1">
      <alignment horizontal="center" vertical="center" wrapText="1"/>
      <protection/>
    </xf>
    <xf numFmtId="0" fontId="8" fillId="33" borderId="15" xfId="59" applyFont="1" applyFill="1" applyBorder="1" applyAlignment="1" applyProtection="1">
      <alignment horizontal="center" vertical="center"/>
      <protection hidden="1"/>
    </xf>
    <xf numFmtId="0" fontId="5" fillId="0" borderId="12" xfId="59" applyFont="1" applyBorder="1" applyAlignment="1" applyProtection="1">
      <alignment horizontal="left" vertical="center"/>
      <protection/>
    </xf>
    <xf numFmtId="170" fontId="24" fillId="0" borderId="0" xfId="59" applyNumberFormat="1" applyFont="1" applyAlignment="1" applyProtection="1">
      <alignment vertical="center"/>
      <protection/>
    </xf>
    <xf numFmtId="170" fontId="24" fillId="0" borderId="0" xfId="59" applyNumberFormat="1" applyFont="1" applyAlignment="1" applyProtection="1">
      <alignment vertical="center"/>
      <protection hidden="1"/>
    </xf>
    <xf numFmtId="0" fontId="24" fillId="0" borderId="0" xfId="59" applyFont="1" applyBorder="1" applyAlignment="1" applyProtection="1">
      <alignment horizontal="right" vertical="center"/>
      <protection hidden="1"/>
    </xf>
    <xf numFmtId="0" fontId="8" fillId="0" borderId="19" xfId="59" applyFont="1" applyBorder="1" applyAlignment="1" applyProtection="1">
      <alignment horizontal="center" vertical="center"/>
      <protection hidden="1"/>
    </xf>
    <xf numFmtId="0" fontId="24" fillId="0" borderId="13" xfId="59" applyFont="1" applyBorder="1" applyAlignment="1" applyProtection="1">
      <alignment horizontal="left" vertical="center"/>
      <protection hidden="1"/>
    </xf>
    <xf numFmtId="0" fontId="0" fillId="0" borderId="0" xfId="59" applyFont="1" applyBorder="1" applyProtection="1">
      <alignment/>
      <protection hidden="1"/>
    </xf>
    <xf numFmtId="0" fontId="7" fillId="0" borderId="17" xfId="59" applyFont="1" applyBorder="1" applyAlignment="1" applyProtection="1">
      <alignment horizontal="center" vertical="center"/>
      <protection hidden="1"/>
    </xf>
    <xf numFmtId="0" fontId="1" fillId="0" borderId="0" xfId="0" applyFont="1" applyAlignment="1" applyProtection="1">
      <alignment vertical="center"/>
      <protection hidden="1"/>
    </xf>
    <xf numFmtId="0" fontId="5" fillId="0" borderId="19" xfId="59" applyFont="1" applyBorder="1" applyAlignment="1" applyProtection="1">
      <alignment horizontal="center" vertical="center"/>
      <protection hidden="1"/>
    </xf>
    <xf numFmtId="170" fontId="24" fillId="0" borderId="0" xfId="59" applyNumberFormat="1" applyFont="1" applyAlignment="1" applyProtection="1">
      <alignment horizontal="left" vertical="center" indent="1"/>
      <protection hidden="1"/>
    </xf>
    <xf numFmtId="39" fontId="0" fillId="0" borderId="25" xfId="57" applyNumberFormat="1" applyFont="1" applyBorder="1" applyAlignment="1" applyProtection="1">
      <alignment horizontal="left" vertical="center"/>
      <protection/>
    </xf>
    <xf numFmtId="2" fontId="0" fillId="0" borderId="20" xfId="57" applyNumberFormat="1" applyFont="1" applyBorder="1" applyAlignment="1" applyProtection="1">
      <alignment horizontal="center" vertical="center" shrinkToFit="1"/>
      <protection hidden="1"/>
    </xf>
    <xf numFmtId="5" fontId="0" fillId="0" borderId="25" xfId="57" applyNumberFormat="1" applyFont="1" applyBorder="1" applyAlignment="1" applyProtection="1">
      <alignment horizontal="left" vertical="center"/>
      <protection/>
    </xf>
    <xf numFmtId="2" fontId="0" fillId="0" borderId="20" xfId="57" applyNumberFormat="1" applyFont="1" applyBorder="1" applyAlignment="1" applyProtection="1">
      <alignment horizontal="center" vertical="center"/>
      <protection hidden="1"/>
    </xf>
    <xf numFmtId="2" fontId="0" fillId="0" borderId="26" xfId="57" applyNumberFormat="1" applyFont="1" applyBorder="1" applyAlignment="1" applyProtection="1">
      <alignment horizontal="center" vertical="center"/>
      <protection hidden="1"/>
    </xf>
    <xf numFmtId="0" fontId="0" fillId="0" borderId="12" xfId="0" applyBorder="1" applyAlignment="1" applyProtection="1">
      <alignment/>
      <protection/>
    </xf>
    <xf numFmtId="0" fontId="0" fillId="0" borderId="0" xfId="0" applyBorder="1" applyAlignment="1" applyProtection="1">
      <alignment horizontal="left"/>
      <protection locked="0"/>
    </xf>
    <xf numFmtId="0" fontId="0" fillId="0" borderId="13" xfId="57" applyNumberFormat="1" applyFont="1" applyBorder="1" applyAlignment="1" applyProtection="1">
      <alignment horizontal="left" vertical="center" indent="1"/>
      <protection/>
    </xf>
    <xf numFmtId="0" fontId="0" fillId="0" borderId="0" xfId="57" applyNumberFormat="1" applyFont="1" applyBorder="1" applyAlignment="1" applyProtection="1">
      <alignment horizontal="left" vertical="center"/>
      <protection locked="0"/>
    </xf>
    <xf numFmtId="0" fontId="0" fillId="0" borderId="12" xfId="0" applyBorder="1" applyAlignment="1" applyProtection="1">
      <alignment horizontal="left"/>
      <protection locked="0"/>
    </xf>
    <xf numFmtId="0" fontId="0" fillId="0" borderId="19" xfId="57" applyNumberFormat="1" applyFont="1" applyBorder="1" applyAlignment="1" applyProtection="1">
      <alignment horizontal="left" vertical="center" indent="1"/>
      <protection/>
    </xf>
    <xf numFmtId="0" fontId="0" fillId="0" borderId="17" xfId="57" applyNumberFormat="1" applyFont="1" applyBorder="1" applyAlignment="1" applyProtection="1">
      <alignment horizontal="left" vertical="center"/>
      <protection locked="0"/>
    </xf>
    <xf numFmtId="0" fontId="39" fillId="0" borderId="13" xfId="0" applyFont="1" applyBorder="1" applyAlignment="1" applyProtection="1">
      <alignment horizontal="left" vertical="center"/>
      <protection hidden="1"/>
    </xf>
    <xf numFmtId="0" fontId="39" fillId="0" borderId="0" xfId="0" applyFont="1" applyAlignment="1" applyProtection="1">
      <alignment horizontal="right" vertical="center"/>
      <protection hidden="1"/>
    </xf>
    <xf numFmtId="0" fontId="39" fillId="0" borderId="14" xfId="0" applyFont="1" applyBorder="1" applyAlignment="1" applyProtection="1">
      <alignment horizontal="right" vertical="center"/>
      <protection hidden="1"/>
    </xf>
    <xf numFmtId="0" fontId="0" fillId="0" borderId="12" xfId="57" applyNumberFormat="1" applyFont="1" applyBorder="1" applyAlignment="1" applyProtection="1">
      <alignment horizontal="left" vertical="center"/>
      <protection locked="0"/>
    </xf>
    <xf numFmtId="0" fontId="10" fillId="0" borderId="16" xfId="57" applyNumberFormat="1" applyFont="1" applyBorder="1" applyAlignment="1" applyProtection="1">
      <alignment horizontal="left" vertical="center"/>
      <protection/>
    </xf>
    <xf numFmtId="0" fontId="10" fillId="0" borderId="18" xfId="57" applyNumberFormat="1" applyFont="1" applyBorder="1" applyAlignment="1" applyProtection="1">
      <alignment horizontal="left" vertical="center"/>
      <protection/>
    </xf>
    <xf numFmtId="0" fontId="10" fillId="0" borderId="11" xfId="57" applyNumberFormat="1" applyFont="1" applyBorder="1" applyAlignment="1" applyProtection="1">
      <alignment horizontal="left" vertical="center"/>
      <protection/>
    </xf>
    <xf numFmtId="0" fontId="14" fillId="0" borderId="0" xfId="57" applyNumberFormat="1" applyFont="1" applyBorder="1" applyAlignment="1" applyProtection="1">
      <alignment vertical="top"/>
      <protection/>
    </xf>
    <xf numFmtId="0" fontId="0" fillId="0" borderId="0" xfId="57" applyNumberFormat="1" applyFont="1" applyAlignment="1" applyProtection="1">
      <alignment horizontal="left" vertical="center"/>
      <protection locked="0"/>
    </xf>
    <xf numFmtId="0" fontId="0" fillId="0" borderId="19" xfId="57" applyNumberFormat="1" applyFont="1" applyBorder="1" applyAlignment="1" applyProtection="1">
      <alignment vertical="center"/>
      <protection/>
    </xf>
    <xf numFmtId="0" fontId="0" fillId="0" borderId="0" xfId="57" applyNumberFormat="1" applyFont="1" applyBorder="1" applyAlignment="1" applyProtection="1">
      <alignment vertical="top"/>
      <protection locked="0"/>
    </xf>
    <xf numFmtId="0" fontId="0" fillId="0" borderId="0" xfId="57" applyNumberFormat="1" applyFont="1" applyBorder="1" applyAlignment="1" applyProtection="1">
      <alignment vertical="center"/>
      <protection locked="0"/>
    </xf>
    <xf numFmtId="0" fontId="0" fillId="0" borderId="12" xfId="57" applyNumberFormat="1" applyFont="1" applyBorder="1" applyAlignment="1" applyProtection="1">
      <alignment vertical="center"/>
      <protection locked="0"/>
    </xf>
    <xf numFmtId="0" fontId="0" fillId="0" borderId="0" xfId="57" applyNumberFormat="1" applyFont="1" applyAlignment="1" applyProtection="1">
      <alignment vertical="top"/>
      <protection locked="0"/>
    </xf>
    <xf numFmtId="0" fontId="10" fillId="0" borderId="12" xfId="57" applyNumberFormat="1" applyFont="1" applyBorder="1" applyAlignment="1" applyProtection="1">
      <alignment horizontal="left" vertical="center"/>
      <protection/>
    </xf>
    <xf numFmtId="0" fontId="10" fillId="0" borderId="20" xfId="57" applyNumberFormat="1" applyFont="1" applyBorder="1" applyAlignment="1" applyProtection="1">
      <alignment horizontal="left" vertical="center"/>
      <protection/>
    </xf>
    <xf numFmtId="2" fontId="0" fillId="0" borderId="12" xfId="57" applyNumberFormat="1" applyFont="1" applyBorder="1" applyAlignment="1" applyProtection="1">
      <alignment horizontal="center" vertical="center" shrinkToFit="1"/>
      <protection hidden="1"/>
    </xf>
    <xf numFmtId="2" fontId="0" fillId="0" borderId="16" xfId="57" applyNumberFormat="1" applyFont="1" applyBorder="1" applyAlignment="1" applyProtection="1">
      <alignment horizontal="center" vertical="center"/>
      <protection hidden="1"/>
    </xf>
    <xf numFmtId="2" fontId="0" fillId="0" borderId="27" xfId="57" applyNumberFormat="1" applyFont="1" applyBorder="1" applyAlignment="1" applyProtection="1">
      <alignment horizontal="center" vertical="center"/>
      <protection hidden="1"/>
    </xf>
    <xf numFmtId="2" fontId="1" fillId="0" borderId="28" xfId="57" applyNumberFormat="1" applyFont="1" applyBorder="1" applyAlignment="1" applyProtection="1">
      <alignment horizontal="left" vertical="top"/>
      <protection hidden="1"/>
    </xf>
    <xf numFmtId="0" fontId="0" fillId="0" borderId="21" xfId="0" applyBorder="1" applyAlignment="1" applyProtection="1">
      <alignment/>
      <protection/>
    </xf>
    <xf numFmtId="0" fontId="0" fillId="0" borderId="17" xfId="0" applyBorder="1" applyAlignment="1" applyProtection="1">
      <alignment/>
      <protection/>
    </xf>
    <xf numFmtId="0" fontId="0" fillId="0" borderId="29" xfId="0" applyBorder="1" applyAlignment="1" applyProtection="1">
      <alignment/>
      <protection/>
    </xf>
    <xf numFmtId="0" fontId="0" fillId="0" borderId="13" xfId="0" applyBorder="1" applyAlignment="1" applyProtection="1">
      <alignment/>
      <protection/>
    </xf>
    <xf numFmtId="0" fontId="7" fillId="0" borderId="0" xfId="0" applyFont="1" applyBorder="1" applyAlignment="1" applyProtection="1">
      <alignment horizontal="right"/>
      <protection/>
    </xf>
    <xf numFmtId="0" fontId="0" fillId="0" borderId="14" xfId="0" applyBorder="1" applyAlignment="1" applyProtection="1">
      <alignment/>
      <protection/>
    </xf>
    <xf numFmtId="5" fontId="17" fillId="0" borderId="0" xfId="57" applyNumberFormat="1" applyFont="1" applyFill="1" applyBorder="1" applyAlignment="1" applyProtection="1">
      <alignment vertical="top"/>
      <protection/>
    </xf>
    <xf numFmtId="5" fontId="0" fillId="0" borderId="10" xfId="57" applyNumberFormat="1" applyFont="1" applyBorder="1" applyAlignment="1" applyProtection="1">
      <alignment vertical="top"/>
      <protection/>
    </xf>
    <xf numFmtId="2" fontId="0" fillId="0" borderId="11" xfId="57" applyNumberFormat="1" applyFont="1" applyBorder="1" applyAlignment="1" applyProtection="1">
      <alignment horizontal="center" vertical="center" shrinkToFit="1"/>
      <protection hidden="1"/>
    </xf>
    <xf numFmtId="0" fontId="47" fillId="0" borderId="0" xfId="0" applyFont="1" applyAlignment="1" applyProtection="1">
      <alignment horizontal="center"/>
      <protection hidden="1"/>
    </xf>
    <xf numFmtId="0" fontId="47" fillId="0" borderId="0" xfId="0" applyFont="1" applyAlignment="1" applyProtection="1">
      <alignment horizontal="center" vertical="top"/>
      <protection hidden="1"/>
    </xf>
    <xf numFmtId="5" fontId="0" fillId="0" borderId="10" xfId="57" applyNumberFormat="1" applyFont="1" applyBorder="1" applyAlignment="1" applyProtection="1">
      <alignment vertical="top"/>
      <protection/>
    </xf>
    <xf numFmtId="2" fontId="0" fillId="0" borderId="11" xfId="57" applyNumberFormat="1" applyFont="1" applyBorder="1" applyAlignment="1" applyProtection="1">
      <alignment horizontal="center" vertical="center" shrinkToFit="1"/>
      <protection hidden="1"/>
    </xf>
    <xf numFmtId="2" fontId="0" fillId="33" borderId="10" xfId="57" applyNumberFormat="1" applyFont="1" applyFill="1" applyBorder="1" applyAlignment="1" applyProtection="1">
      <alignment horizontal="center" vertical="center"/>
      <protection hidden="1"/>
    </xf>
    <xf numFmtId="1" fontId="1" fillId="0" borderId="10" xfId="57" applyNumberFormat="1" applyFont="1" applyBorder="1" applyAlignment="1" applyProtection="1">
      <alignment horizontal="center" vertical="center"/>
      <protection hidden="1"/>
    </xf>
    <xf numFmtId="0" fontId="47" fillId="0" borderId="0" xfId="0" applyFont="1" applyAlignment="1" applyProtection="1">
      <alignment horizontal="center" vertical="center"/>
      <protection hidden="1"/>
    </xf>
    <xf numFmtId="1" fontId="1" fillId="0" borderId="30" xfId="57" applyNumberFormat="1" applyFont="1" applyBorder="1" applyAlignment="1" applyProtection="1">
      <alignment horizontal="center" vertical="center"/>
      <protection hidden="1"/>
    </xf>
    <xf numFmtId="0" fontId="47" fillId="0" borderId="0" xfId="0" applyFont="1" applyAlignment="1" applyProtection="1">
      <alignment horizontal="left" vertical="center"/>
      <protection hidden="1"/>
    </xf>
    <xf numFmtId="0" fontId="40" fillId="0" borderId="0" xfId="0" applyFont="1" applyAlignment="1" applyProtection="1">
      <alignment/>
      <protection hidden="1"/>
    </xf>
    <xf numFmtId="2" fontId="0" fillId="0" borderId="10" xfId="57" applyNumberFormat="1" applyFont="1" applyFill="1" applyBorder="1" applyAlignment="1" applyProtection="1">
      <alignment horizontal="center" vertical="center"/>
      <protection hidden="1"/>
    </xf>
    <xf numFmtId="5" fontId="1" fillId="0" borderId="0" xfId="57" applyNumberFormat="1" applyFont="1" applyBorder="1" applyAlignment="1" applyProtection="1">
      <alignment horizontal="center"/>
      <protection/>
    </xf>
    <xf numFmtId="0" fontId="0" fillId="0" borderId="0" xfId="57" applyFont="1" applyAlignment="1" applyProtection="1">
      <alignment/>
      <protection/>
    </xf>
    <xf numFmtId="5" fontId="0" fillId="0" borderId="0" xfId="57" applyNumberFormat="1" applyFont="1" applyBorder="1" applyAlignment="1" applyProtection="1">
      <alignment/>
      <protection/>
    </xf>
    <xf numFmtId="2" fontId="0" fillId="0" borderId="10" xfId="0" applyNumberFormat="1" applyBorder="1" applyAlignment="1" applyProtection="1">
      <alignment horizontal="center" vertical="center"/>
      <protection hidden="1"/>
    </xf>
    <xf numFmtId="2" fontId="0" fillId="0" borderId="31" xfId="0" applyNumberFormat="1" applyBorder="1" applyAlignment="1" applyProtection="1">
      <alignment horizontal="center" vertical="center"/>
      <protection hidden="1"/>
    </xf>
    <xf numFmtId="2" fontId="0" fillId="0" borderId="32" xfId="57" applyNumberFormat="1" applyFont="1" applyBorder="1" applyAlignment="1" applyProtection="1">
      <alignment horizontal="center" vertical="center"/>
      <protection hidden="1"/>
    </xf>
    <xf numFmtId="2" fontId="0" fillId="0" borderId="28" xfId="57" applyNumberFormat="1" applyFont="1" applyBorder="1" applyAlignment="1" applyProtection="1">
      <alignment horizontal="center" vertical="center" shrinkToFit="1"/>
      <protection hidden="1"/>
    </xf>
    <xf numFmtId="0" fontId="49" fillId="0" borderId="0" xfId="59" applyFont="1" applyProtection="1">
      <alignment/>
      <protection locked="0"/>
    </xf>
    <xf numFmtId="0" fontId="50" fillId="0" borderId="0" xfId="59" applyFont="1" applyProtection="1">
      <alignment/>
      <protection locked="0"/>
    </xf>
    <xf numFmtId="1" fontId="8" fillId="0" borderId="10" xfId="0" applyNumberFormat="1" applyFont="1" applyBorder="1" applyAlignment="1" applyProtection="1">
      <alignment horizontal="center" vertical="center"/>
      <protection hidden="1"/>
    </xf>
    <xf numFmtId="0" fontId="0" fillId="0" borderId="0" xfId="57" applyNumberFormat="1" applyFont="1" applyBorder="1" applyAlignment="1" applyProtection="1">
      <alignment vertical="top"/>
      <protection/>
    </xf>
    <xf numFmtId="0" fontId="0" fillId="0" borderId="0" xfId="0" applyFont="1" applyAlignment="1" applyProtection="1">
      <alignment/>
      <protection/>
    </xf>
    <xf numFmtId="0" fontId="8" fillId="0" borderId="0" xfId="57" applyNumberFormat="1" applyFont="1" applyBorder="1" applyAlignment="1" applyProtection="1">
      <alignment horizontal="left" vertical="top"/>
      <protection/>
    </xf>
    <xf numFmtId="0" fontId="0" fillId="0" borderId="13" xfId="57" applyNumberFormat="1" applyFont="1" applyBorder="1" applyAlignment="1" applyProtection="1">
      <alignment vertical="top"/>
      <protection/>
    </xf>
    <xf numFmtId="0" fontId="0" fillId="0" borderId="13" xfId="57" applyNumberFormat="1" applyFont="1" applyBorder="1" applyAlignment="1" applyProtection="1">
      <alignment vertical="center"/>
      <protection/>
    </xf>
    <xf numFmtId="0" fontId="29" fillId="38" borderId="11" xfId="57" applyNumberFormat="1" applyFont="1" applyFill="1" applyBorder="1" applyAlignment="1" applyProtection="1">
      <alignment vertical="center"/>
      <protection/>
    </xf>
    <xf numFmtId="0" fontId="1" fillId="38" borderId="10" xfId="57" applyNumberFormat="1" applyFont="1" applyFill="1" applyBorder="1" applyAlignment="1" applyProtection="1">
      <alignment horizontal="center" vertical="center"/>
      <protection/>
    </xf>
    <xf numFmtId="0" fontId="1" fillId="36" borderId="10" xfId="57" applyNumberFormat="1" applyFont="1" applyFill="1" applyBorder="1" applyAlignment="1" applyProtection="1">
      <alignment horizontal="center" vertical="center"/>
      <protection/>
    </xf>
    <xf numFmtId="0" fontId="1" fillId="38" borderId="15" xfId="57" applyNumberFormat="1" applyFont="1" applyFill="1" applyBorder="1" applyAlignment="1" applyProtection="1">
      <alignment horizontal="center" vertical="center"/>
      <protection/>
    </xf>
    <xf numFmtId="0" fontId="1" fillId="33" borderId="10" xfId="0" applyFont="1" applyFill="1" applyBorder="1" applyAlignment="1" applyProtection="1">
      <alignment horizontal="center"/>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0" fillId="0" borderId="20" xfId="0" applyBorder="1" applyAlignment="1" applyProtection="1">
      <alignment horizontal="left"/>
      <protection/>
    </xf>
    <xf numFmtId="0" fontId="0" fillId="0" borderId="0" xfId="0" applyBorder="1" applyAlignment="1" applyProtection="1">
      <alignment/>
      <protection/>
    </xf>
    <xf numFmtId="0" fontId="0" fillId="0" borderId="13" xfId="0" applyBorder="1" applyAlignment="1" applyProtection="1">
      <alignment horizontal="left" vertical="center" indent="1"/>
      <protection/>
    </xf>
    <xf numFmtId="0" fontId="0" fillId="0" borderId="19" xfId="0" applyBorder="1" applyAlignment="1" applyProtection="1">
      <alignment horizontal="left" vertical="center" indent="1"/>
      <protection/>
    </xf>
    <xf numFmtId="0" fontId="0" fillId="0" borderId="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21" xfId="57" applyNumberFormat="1" applyFont="1" applyBorder="1" applyAlignment="1" applyProtection="1">
      <alignment horizontal="left" vertical="center" indent="1"/>
      <protection/>
    </xf>
    <xf numFmtId="0" fontId="0" fillId="0" borderId="29" xfId="0"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horizontal="left"/>
      <protection/>
    </xf>
    <xf numFmtId="0" fontId="15" fillId="38" borderId="18" xfId="57" applyNumberFormat="1" applyFont="1" applyFill="1" applyBorder="1" applyAlignment="1" applyProtection="1">
      <alignment horizontal="center" vertical="center"/>
      <protection/>
    </xf>
    <xf numFmtId="0" fontId="15" fillId="36" borderId="10" xfId="57" applyNumberFormat="1" applyFont="1" applyFill="1" applyBorder="1" applyAlignment="1" applyProtection="1">
      <alignment horizontal="center" vertical="center"/>
      <protection/>
    </xf>
    <xf numFmtId="0" fontId="10" fillId="33" borderId="11" xfId="57" applyNumberFormat="1" applyFont="1" applyFill="1" applyBorder="1" applyAlignment="1" applyProtection="1">
      <alignment vertical="center"/>
      <protection/>
    </xf>
    <xf numFmtId="0" fontId="10" fillId="33" borderId="16" xfId="57" applyNumberFormat="1" applyFont="1" applyFill="1" applyBorder="1" applyAlignment="1" applyProtection="1">
      <alignment vertical="center"/>
      <protection/>
    </xf>
    <xf numFmtId="0" fontId="7" fillId="33" borderId="16" xfId="57" applyNumberFormat="1" applyFont="1" applyFill="1" applyBorder="1" applyAlignment="1" applyProtection="1">
      <alignment vertical="center"/>
      <protection/>
    </xf>
    <xf numFmtId="5" fontId="0" fillId="0" borderId="15" xfId="57" applyNumberFormat="1" applyFont="1" applyBorder="1" applyAlignment="1" applyProtection="1">
      <alignment vertical="top"/>
      <protection/>
    </xf>
    <xf numFmtId="2" fontId="0" fillId="0" borderId="15" xfId="57" applyNumberFormat="1" applyFont="1" applyBorder="1" applyAlignment="1" applyProtection="1">
      <alignment horizontal="center" vertical="center"/>
      <protection hidden="1"/>
    </xf>
    <xf numFmtId="5" fontId="1" fillId="33" borderId="19" xfId="57" applyNumberFormat="1" applyFont="1" applyFill="1" applyBorder="1" applyAlignment="1" applyProtection="1">
      <alignment horizontal="center" vertical="center"/>
      <protection hidden="1"/>
    </xf>
    <xf numFmtId="5" fontId="0" fillId="0" borderId="33" xfId="57" applyNumberFormat="1" applyFont="1" applyBorder="1" applyAlignment="1" applyProtection="1">
      <alignment vertical="top"/>
      <protection/>
    </xf>
    <xf numFmtId="2" fontId="0" fillId="0" borderId="34" xfId="57" applyNumberFormat="1" applyFont="1" applyBorder="1" applyAlignment="1" applyProtection="1">
      <alignment horizontal="center" vertical="center" shrinkToFit="1"/>
      <protection hidden="1"/>
    </xf>
    <xf numFmtId="1" fontId="1" fillId="0" borderId="33" xfId="57" applyNumberFormat="1" applyFont="1" applyBorder="1" applyAlignment="1" applyProtection="1">
      <alignment horizontal="center" vertical="center"/>
      <protection hidden="1"/>
    </xf>
    <xf numFmtId="2" fontId="0" fillId="33" borderId="33" xfId="57" applyNumberFormat="1" applyFont="1" applyFill="1" applyBorder="1" applyAlignment="1" applyProtection="1">
      <alignment horizontal="center" vertical="center"/>
      <protection hidden="1"/>
    </xf>
    <xf numFmtId="1" fontId="0" fillId="0" borderId="15" xfId="57" applyNumberFormat="1" applyFont="1" applyBorder="1" applyAlignment="1" applyProtection="1">
      <alignment horizontal="center" vertical="center"/>
      <protection hidden="1"/>
    </xf>
    <xf numFmtId="1" fontId="0" fillId="0" borderId="15" xfId="57" applyNumberFormat="1" applyFont="1" applyFill="1" applyBorder="1" applyAlignment="1" applyProtection="1">
      <alignment horizontal="center" vertical="center" shrinkToFit="1"/>
      <protection hidden="1"/>
    </xf>
    <xf numFmtId="5" fontId="1" fillId="0" borderId="15" xfId="57" applyNumberFormat="1" applyFont="1" applyBorder="1" applyAlignment="1" applyProtection="1">
      <alignment vertical="top"/>
      <protection/>
    </xf>
    <xf numFmtId="1" fontId="0" fillId="0" borderId="15" xfId="57" applyNumberFormat="1" applyFont="1" applyFill="1" applyBorder="1" applyAlignment="1" applyProtection="1">
      <alignment horizontal="center" vertical="center"/>
      <protection hidden="1"/>
    </xf>
    <xf numFmtId="5" fontId="8" fillId="0" borderId="10" xfId="57" applyNumberFormat="1" applyFont="1" applyBorder="1" applyAlignment="1" applyProtection="1">
      <alignment horizontal="right" vertical="center" shrinkToFit="1"/>
      <protection locked="0"/>
    </xf>
    <xf numFmtId="5" fontId="8" fillId="0" borderId="10" xfId="57" applyNumberFormat="1" applyFont="1" applyBorder="1" applyAlignment="1" applyProtection="1">
      <alignment horizontal="right" vertical="center" shrinkToFit="1"/>
      <protection/>
    </xf>
    <xf numFmtId="5" fontId="8" fillId="0" borderId="35" xfId="57" applyNumberFormat="1" applyFont="1" applyBorder="1" applyAlignment="1" applyProtection="1">
      <alignment horizontal="right" vertical="center" shrinkToFit="1"/>
      <protection locked="0"/>
    </xf>
    <xf numFmtId="5" fontId="8" fillId="0" borderId="35" xfId="57" applyNumberFormat="1" applyFont="1" applyBorder="1" applyAlignment="1" applyProtection="1">
      <alignment horizontal="right" vertical="center" shrinkToFit="1"/>
      <protection/>
    </xf>
    <xf numFmtId="5" fontId="8" fillId="0" borderId="15" xfId="57" applyNumberFormat="1" applyFont="1" applyBorder="1" applyAlignment="1" applyProtection="1">
      <alignment horizontal="right" vertical="center" shrinkToFit="1"/>
      <protection hidden="1"/>
    </xf>
    <xf numFmtId="5" fontId="43" fillId="33" borderId="30" xfId="57" applyNumberFormat="1" applyFont="1" applyFill="1" applyBorder="1" applyAlignment="1" applyProtection="1">
      <alignment horizontal="center" vertical="center" shrinkToFit="1"/>
      <protection/>
    </xf>
    <xf numFmtId="5" fontId="8" fillId="0" borderId="35" xfId="57" applyNumberFormat="1" applyFont="1" applyBorder="1" applyAlignment="1" applyProtection="1">
      <alignment horizontal="right" vertical="center" shrinkToFit="1"/>
      <protection hidden="1"/>
    </xf>
    <xf numFmtId="0" fontId="43" fillId="33" borderId="14" xfId="0" applyFont="1" applyFill="1" applyBorder="1" applyAlignment="1" applyProtection="1">
      <alignment horizontal="center" vertical="center" shrinkToFit="1"/>
      <protection hidden="1"/>
    </xf>
    <xf numFmtId="5" fontId="8" fillId="0" borderId="10" xfId="57" applyNumberFormat="1" applyFont="1" applyBorder="1" applyAlignment="1" applyProtection="1">
      <alignment horizontal="right" vertical="center" shrinkToFit="1"/>
      <protection hidden="1"/>
    </xf>
    <xf numFmtId="5" fontId="8" fillId="0" borderId="10" xfId="57" applyNumberFormat="1" applyFont="1" applyBorder="1" applyAlignment="1" applyProtection="1">
      <alignment vertical="center" shrinkToFit="1"/>
      <protection hidden="1"/>
    </xf>
    <xf numFmtId="0" fontId="6" fillId="0" borderId="0" xfId="57" applyFont="1" applyAlignment="1" applyProtection="1">
      <alignment horizontal="right"/>
      <protection/>
    </xf>
    <xf numFmtId="6" fontId="8" fillId="0" borderId="10" xfId="57" applyNumberFormat="1" applyFont="1" applyBorder="1" applyAlignment="1" applyProtection="1">
      <alignment horizontal="right" vertical="center" shrinkToFit="1"/>
      <protection locked="0"/>
    </xf>
    <xf numFmtId="6" fontId="8" fillId="0" borderId="10" xfId="57" applyNumberFormat="1" applyFont="1" applyBorder="1" applyAlignment="1" applyProtection="1">
      <alignment horizontal="right" vertical="center" shrinkToFit="1"/>
      <protection/>
    </xf>
    <xf numFmtId="6" fontId="8" fillId="0" borderId="22" xfId="57" applyNumberFormat="1" applyFont="1" applyBorder="1" applyAlignment="1" applyProtection="1">
      <alignment horizontal="right" shrinkToFit="1"/>
      <protection/>
    </xf>
    <xf numFmtId="0" fontId="14" fillId="0" borderId="0" xfId="59" applyFont="1" applyBorder="1" applyProtection="1">
      <alignment/>
      <protection locked="0"/>
    </xf>
    <xf numFmtId="0" fontId="51" fillId="0" borderId="0" xfId="59" applyFont="1" applyProtection="1">
      <alignment/>
      <protection locked="0"/>
    </xf>
    <xf numFmtId="5" fontId="48" fillId="0" borderId="0" xfId="57" applyNumberFormat="1" applyFont="1" applyBorder="1" applyAlignment="1" applyProtection="1">
      <alignment horizontal="left" vertical="center"/>
      <protection/>
    </xf>
    <xf numFmtId="5" fontId="8" fillId="0" borderId="10" xfId="57" applyNumberFormat="1" applyFont="1" applyBorder="1" applyAlignment="1" applyProtection="1">
      <alignment horizontal="center" vertical="center" shrinkToFit="1"/>
      <protection locked="0"/>
    </xf>
    <xf numFmtId="0" fontId="16" fillId="0" borderId="0" xfId="0" applyFont="1" applyAlignment="1" applyProtection="1">
      <alignment/>
      <protection/>
    </xf>
    <xf numFmtId="0" fontId="16" fillId="0" borderId="13" xfId="0" applyFont="1" applyBorder="1" applyAlignment="1" applyProtection="1">
      <alignment/>
      <protection/>
    </xf>
    <xf numFmtId="0" fontId="16" fillId="0" borderId="0" xfId="0" applyFont="1" applyBorder="1" applyAlignment="1" applyProtection="1">
      <alignment/>
      <protection/>
    </xf>
    <xf numFmtId="2" fontId="16" fillId="0" borderId="0" xfId="0" applyNumberFormat="1" applyFont="1" applyBorder="1" applyAlignment="1" applyProtection="1">
      <alignment/>
      <protection/>
    </xf>
    <xf numFmtId="0" fontId="16" fillId="0" borderId="14" xfId="0" applyFont="1" applyBorder="1" applyAlignment="1" applyProtection="1">
      <alignment/>
      <protection/>
    </xf>
    <xf numFmtId="0" fontId="0" fillId="0" borderId="10" xfId="59" applyFont="1" applyBorder="1">
      <alignment/>
      <protection/>
    </xf>
    <xf numFmtId="0" fontId="14" fillId="0" borderId="10" xfId="59" applyFont="1" applyBorder="1">
      <alignment/>
      <protection/>
    </xf>
    <xf numFmtId="49" fontId="11" fillId="0" borderId="11" xfId="59" applyNumberFormat="1" applyFont="1" applyBorder="1" applyAlignment="1" applyProtection="1">
      <alignment horizontal="center" vertical="center"/>
      <protection locked="0"/>
    </xf>
    <xf numFmtId="0" fontId="0" fillId="0" borderId="10" xfId="0" applyFont="1" applyBorder="1" applyAlignment="1">
      <alignment horizontal="center"/>
    </xf>
    <xf numFmtId="0" fontId="0" fillId="0" borderId="10" xfId="0"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0" xfId="59" applyFont="1" applyBorder="1" applyAlignment="1">
      <alignment horizontal="left" vertical="center"/>
      <protection/>
    </xf>
    <xf numFmtId="0" fontId="0" fillId="0" borderId="10" xfId="59" applyFont="1" applyBorder="1" applyAlignment="1">
      <alignment vertical="center"/>
      <protection/>
    </xf>
    <xf numFmtId="0" fontId="0" fillId="0" borderId="10" xfId="59" applyFont="1" applyBorder="1" applyAlignment="1" applyProtection="1">
      <alignment vertical="center"/>
      <protection/>
    </xf>
    <xf numFmtId="0" fontId="0" fillId="0" borderId="10" xfId="59" applyFont="1" applyBorder="1" applyAlignment="1" applyProtection="1">
      <alignment horizontal="left"/>
      <protection/>
    </xf>
    <xf numFmtId="0" fontId="0" fillId="0" borderId="10" xfId="59" applyFont="1" applyBorder="1" applyProtection="1">
      <alignment/>
      <protection/>
    </xf>
    <xf numFmtId="0" fontId="0" fillId="0" borderId="10" xfId="59" applyFont="1" applyBorder="1" applyAlignment="1" applyProtection="1">
      <alignment/>
      <protection/>
    </xf>
    <xf numFmtId="0" fontId="0" fillId="0" borderId="10" xfId="59" applyFont="1" applyBorder="1" applyAlignment="1">
      <alignment horizontal="left"/>
      <protection/>
    </xf>
    <xf numFmtId="0" fontId="0" fillId="0" borderId="10" xfId="59" applyFont="1" applyBorder="1">
      <alignment/>
      <protection/>
    </xf>
    <xf numFmtId="0" fontId="14" fillId="0" borderId="10" xfId="59" applyFont="1" applyBorder="1">
      <alignment/>
      <protection/>
    </xf>
    <xf numFmtId="49" fontId="11" fillId="0" borderId="10" xfId="59" applyNumberFormat="1" applyFont="1" applyBorder="1" applyAlignment="1" applyProtection="1">
      <alignment horizontal="center" vertical="center"/>
      <protection locked="0"/>
    </xf>
    <xf numFmtId="49" fontId="16" fillId="0" borderId="10" xfId="59" applyNumberFormat="1" applyFont="1" applyBorder="1" applyAlignment="1" applyProtection="1">
      <alignment horizontal="center" vertical="center" shrinkToFit="1"/>
      <protection locked="0"/>
    </xf>
    <xf numFmtId="0" fontId="0" fillId="36" borderId="0" xfId="0" applyFill="1" applyBorder="1" applyAlignment="1" applyProtection="1">
      <alignment/>
      <protection/>
    </xf>
    <xf numFmtId="0" fontId="1" fillId="36" borderId="0" xfId="0" applyFont="1" applyFill="1" applyBorder="1" applyAlignment="1" applyProtection="1">
      <alignment vertical="center"/>
      <protection/>
    </xf>
    <xf numFmtId="0" fontId="0" fillId="36" borderId="0" xfId="0" applyFill="1" applyBorder="1" applyAlignment="1" applyProtection="1">
      <alignment vertical="center"/>
      <protection/>
    </xf>
    <xf numFmtId="0" fontId="1" fillId="36" borderId="0" xfId="0" applyFont="1" applyFill="1" applyBorder="1" applyAlignment="1" applyProtection="1">
      <alignment/>
      <protection/>
    </xf>
    <xf numFmtId="6" fontId="8" fillId="0" borderId="22" xfId="57" applyNumberFormat="1" applyFont="1" applyBorder="1" applyAlignment="1" applyProtection="1">
      <alignment horizontal="right" vertical="center" shrinkToFit="1"/>
      <protection locked="0"/>
    </xf>
    <xf numFmtId="5" fontId="8" fillId="39" borderId="18" xfId="57" applyNumberFormat="1" applyFont="1" applyFill="1" applyBorder="1" applyAlignment="1" applyProtection="1">
      <alignment horizontal="right" vertical="center" shrinkToFit="1"/>
      <protection/>
    </xf>
    <xf numFmtId="5" fontId="8" fillId="0" borderId="17" xfId="57" applyNumberFormat="1" applyFont="1" applyBorder="1" applyAlignment="1" applyProtection="1">
      <alignment horizontal="right" vertical="center" shrinkToFit="1"/>
      <protection hidden="1"/>
    </xf>
    <xf numFmtId="5" fontId="0" fillId="0" borderId="0" xfId="57" applyNumberFormat="1" applyFont="1" applyFill="1" applyBorder="1" applyAlignment="1" applyProtection="1">
      <alignment vertical="top"/>
      <protection/>
    </xf>
    <xf numFmtId="165" fontId="0" fillId="0" borderId="0" xfId="0" applyNumberFormat="1" applyAlignment="1" applyProtection="1">
      <alignment/>
      <protection/>
    </xf>
    <xf numFmtId="0" fontId="24" fillId="33" borderId="22" xfId="57" applyFont="1" applyFill="1" applyBorder="1" applyAlignment="1" applyProtection="1">
      <alignment horizontal="center" vertical="center" wrapText="1"/>
      <protection/>
    </xf>
    <xf numFmtId="0" fontId="34" fillId="33" borderId="11" xfId="57" applyNumberFormat="1" applyFont="1" applyFill="1" applyBorder="1" applyAlignment="1" applyProtection="1">
      <alignment vertical="center"/>
      <protection/>
    </xf>
    <xf numFmtId="5" fontId="36" fillId="33" borderId="18" xfId="57" applyNumberFormat="1" applyFont="1" applyFill="1" applyBorder="1" applyAlignment="1" applyProtection="1">
      <alignment horizontal="right" vertical="center"/>
      <protection hidden="1"/>
    </xf>
    <xf numFmtId="5" fontId="10" fillId="39" borderId="16" xfId="57" applyNumberFormat="1" applyFont="1" applyFill="1" applyBorder="1" applyAlignment="1" applyProtection="1">
      <alignment horizontal="center" vertical="center"/>
      <protection/>
    </xf>
    <xf numFmtId="5" fontId="10" fillId="39" borderId="18" xfId="57" applyNumberFormat="1" applyFont="1" applyFill="1" applyBorder="1" applyAlignment="1" applyProtection="1">
      <alignment horizontal="center" vertical="center"/>
      <protection/>
    </xf>
    <xf numFmtId="0" fontId="14" fillId="0" borderId="0" xfId="59" applyFont="1">
      <alignment/>
      <protection/>
    </xf>
    <xf numFmtId="49" fontId="11" fillId="0" borderId="23" xfId="59" applyNumberFormat="1" applyFont="1" applyBorder="1" applyAlignment="1" applyProtection="1">
      <alignment horizontal="center" vertical="center" shrinkToFit="1"/>
      <protection locked="0"/>
    </xf>
    <xf numFmtId="0" fontId="23" fillId="0" borderId="0" xfId="0" applyFont="1" applyAlignment="1" applyProtection="1">
      <alignment/>
      <protection/>
    </xf>
    <xf numFmtId="0" fontId="0" fillId="0" borderId="0" xfId="0" applyNumberFormat="1" applyAlignment="1" applyProtection="1">
      <alignment/>
      <protection/>
    </xf>
    <xf numFmtId="0" fontId="0" fillId="0" borderId="0" xfId="0" applyAlignment="1" applyProtection="1">
      <alignment horizontal="right"/>
      <protection/>
    </xf>
    <xf numFmtId="0" fontId="0" fillId="0" borderId="12" xfId="0" applyBorder="1" applyAlignment="1" applyProtection="1">
      <alignment horizontal="right"/>
      <protection/>
    </xf>
    <xf numFmtId="0" fontId="0" fillId="0" borderId="0" xfId="58" applyFont="1" applyProtection="1">
      <alignment/>
      <protection/>
    </xf>
    <xf numFmtId="0" fontId="40" fillId="0" borderId="0" xfId="0" applyFont="1" applyFill="1" applyAlignment="1" applyProtection="1">
      <alignment/>
      <protection/>
    </xf>
    <xf numFmtId="0" fontId="0" fillId="0" borderId="0" xfId="0" applyAlignment="1" applyProtection="1">
      <alignment vertical="top"/>
      <protection/>
    </xf>
    <xf numFmtId="49" fontId="45" fillId="0" borderId="0" xfId="0" applyNumberFormat="1" applyFont="1" applyAlignment="1" applyProtection="1">
      <alignment horizontal="centerContinuous" vertical="top"/>
      <protection/>
    </xf>
    <xf numFmtId="49" fontId="13" fillId="0" borderId="0" xfId="0" applyNumberFormat="1" applyFont="1" applyAlignment="1" applyProtection="1">
      <alignment horizontal="centerContinuous" vertical="top"/>
      <protection/>
    </xf>
    <xf numFmtId="0" fontId="0" fillId="0" borderId="0" xfId="58" applyFont="1" applyAlignment="1" applyProtection="1">
      <alignment vertical="top"/>
      <protection/>
    </xf>
    <xf numFmtId="0" fontId="0" fillId="0" borderId="36" xfId="0" applyBorder="1" applyAlignment="1" applyProtection="1">
      <alignment/>
      <protection/>
    </xf>
    <xf numFmtId="0" fontId="0" fillId="0" borderId="37" xfId="0"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protection/>
    </xf>
    <xf numFmtId="0" fontId="0" fillId="0" borderId="40" xfId="0" applyBorder="1" applyAlignment="1" applyProtection="1">
      <alignment/>
      <protection/>
    </xf>
    <xf numFmtId="0" fontId="14"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0" fillId="0" borderId="19" xfId="0" applyBorder="1" applyAlignment="1" applyProtection="1">
      <alignment/>
      <protection/>
    </xf>
    <xf numFmtId="0" fontId="0" fillId="0" borderId="43" xfId="0" applyBorder="1" applyAlignment="1" applyProtection="1">
      <alignment/>
      <protection/>
    </xf>
    <xf numFmtId="0" fontId="14" fillId="0" borderId="12" xfId="0" applyFont="1" applyBorder="1" applyAlignment="1" applyProtection="1">
      <alignment/>
      <protection/>
    </xf>
    <xf numFmtId="0" fontId="0" fillId="36" borderId="41" xfId="0" applyFill="1" applyBorder="1" applyAlignment="1" applyProtection="1">
      <alignment/>
      <protection/>
    </xf>
    <xf numFmtId="0" fontId="0" fillId="0" borderId="20" xfId="0" applyBorder="1" applyAlignment="1" applyProtection="1">
      <alignment/>
      <protection/>
    </xf>
    <xf numFmtId="0" fontId="0" fillId="36" borderId="13" xfId="0" applyFill="1" applyBorder="1" applyAlignment="1" applyProtection="1">
      <alignment/>
      <protection/>
    </xf>
    <xf numFmtId="0" fontId="5" fillId="36" borderId="0" xfId="0" applyFont="1" applyFill="1" applyBorder="1" applyAlignment="1" applyProtection="1">
      <alignment horizontal="centerContinuous"/>
      <protection/>
    </xf>
    <xf numFmtId="0" fontId="1" fillId="36" borderId="0" xfId="0" applyFont="1" applyFill="1" applyBorder="1" applyAlignment="1" applyProtection="1">
      <alignment/>
      <protection/>
    </xf>
    <xf numFmtId="0" fontId="0" fillId="0" borderId="44" xfId="0" applyBorder="1" applyAlignment="1" applyProtection="1">
      <alignment/>
      <protection/>
    </xf>
    <xf numFmtId="0" fontId="0" fillId="0" borderId="27" xfId="0" applyBorder="1" applyAlignment="1" applyProtection="1">
      <alignment/>
      <protection/>
    </xf>
    <xf numFmtId="0" fontId="0" fillId="0" borderId="45" xfId="0" applyBorder="1" applyAlignment="1" applyProtection="1">
      <alignment/>
      <protection/>
    </xf>
    <xf numFmtId="0" fontId="0" fillId="0" borderId="46" xfId="0" applyBorder="1" applyAlignment="1" applyProtection="1">
      <alignment/>
      <protection/>
    </xf>
    <xf numFmtId="0" fontId="0" fillId="36" borderId="27" xfId="0" applyFill="1" applyBorder="1" applyAlignment="1" applyProtection="1">
      <alignment/>
      <protection/>
    </xf>
    <xf numFmtId="0" fontId="0" fillId="36" borderId="47" xfId="0" applyFill="1" applyBorder="1" applyAlignment="1" applyProtection="1">
      <alignment/>
      <protection/>
    </xf>
    <xf numFmtId="0" fontId="0" fillId="0" borderId="48" xfId="0" applyBorder="1" applyAlignment="1" applyProtection="1">
      <alignment/>
      <protection/>
    </xf>
    <xf numFmtId="0" fontId="0" fillId="0" borderId="0" xfId="0" applyFill="1" applyBorder="1" applyAlignment="1" applyProtection="1">
      <alignment/>
      <protection/>
    </xf>
    <xf numFmtId="0" fontId="0" fillId="0" borderId="49" xfId="0" applyFill="1" applyBorder="1" applyAlignment="1" applyProtection="1">
      <alignment/>
      <protection/>
    </xf>
    <xf numFmtId="0" fontId="0" fillId="36" borderId="50" xfId="0" applyFill="1" applyBorder="1" applyAlignment="1" applyProtection="1">
      <alignment/>
      <protection/>
    </xf>
    <xf numFmtId="0" fontId="5" fillId="36" borderId="24" xfId="0" applyFont="1" applyFill="1" applyBorder="1" applyAlignment="1" applyProtection="1">
      <alignment/>
      <protection/>
    </xf>
    <xf numFmtId="0" fontId="0" fillId="36" borderId="24" xfId="0" applyFill="1" applyBorder="1" applyAlignment="1" applyProtection="1">
      <alignment/>
      <protection/>
    </xf>
    <xf numFmtId="0" fontId="37" fillId="36" borderId="24" xfId="0" applyFont="1" applyFill="1" applyBorder="1" applyAlignment="1" applyProtection="1">
      <alignment vertical="center"/>
      <protection/>
    </xf>
    <xf numFmtId="0" fontId="0" fillId="36" borderId="51" xfId="0" applyFill="1" applyBorder="1" applyAlignment="1" applyProtection="1">
      <alignment/>
      <protection/>
    </xf>
    <xf numFmtId="0" fontId="0" fillId="0" borderId="40" xfId="0" applyBorder="1" applyAlignment="1" applyProtection="1">
      <alignment vertical="center"/>
      <protection/>
    </xf>
    <xf numFmtId="0" fontId="0" fillId="0" borderId="0" xfId="0" applyBorder="1" applyAlignment="1" applyProtection="1">
      <alignment vertical="center"/>
      <protection/>
    </xf>
    <xf numFmtId="0" fontId="0" fillId="0" borderId="41" xfId="0" applyBorder="1" applyAlignment="1" applyProtection="1">
      <alignment vertical="center"/>
      <protection/>
    </xf>
    <xf numFmtId="0" fontId="0" fillId="0" borderId="0" xfId="0" applyAlignment="1" applyProtection="1">
      <alignment vertical="center"/>
      <protection/>
    </xf>
    <xf numFmtId="0" fontId="0" fillId="0" borderId="42" xfId="0" applyBorder="1" applyAlignment="1" applyProtection="1">
      <alignment vertical="center"/>
      <protection/>
    </xf>
    <xf numFmtId="0" fontId="0" fillId="0" borderId="12" xfId="0" applyBorder="1" applyAlignment="1" applyProtection="1">
      <alignment vertical="center"/>
      <protection/>
    </xf>
    <xf numFmtId="0" fontId="0" fillId="0" borderId="43" xfId="0" applyBorder="1" applyAlignment="1" applyProtection="1">
      <alignment vertical="center"/>
      <protection/>
    </xf>
    <xf numFmtId="0" fontId="14" fillId="0" borderId="0" xfId="0" applyFont="1" applyBorder="1" applyAlignment="1" applyProtection="1">
      <alignment vertical="center"/>
      <protection/>
    </xf>
    <xf numFmtId="0" fontId="14" fillId="0" borderId="12" xfId="0" applyFont="1" applyBorder="1" applyAlignment="1" applyProtection="1">
      <alignment vertical="center"/>
      <protection/>
    </xf>
    <xf numFmtId="0" fontId="1" fillId="0" borderId="12" xfId="0" applyFont="1" applyBorder="1" applyAlignment="1" applyProtection="1">
      <alignment/>
      <protection/>
    </xf>
    <xf numFmtId="0" fontId="0" fillId="36" borderId="21" xfId="0" applyFill="1" applyBorder="1" applyAlignment="1" applyProtection="1">
      <alignment/>
      <protection/>
    </xf>
    <xf numFmtId="0" fontId="0" fillId="0" borderId="52" xfId="0" applyBorder="1" applyAlignment="1" applyProtection="1">
      <alignment/>
      <protection/>
    </xf>
    <xf numFmtId="0" fontId="0" fillId="0" borderId="53" xfId="0" applyBorder="1" applyAlignment="1" applyProtection="1">
      <alignment/>
      <protection/>
    </xf>
    <xf numFmtId="0" fontId="0" fillId="36" borderId="54" xfId="0" applyFill="1" applyBorder="1" applyAlignment="1" applyProtection="1">
      <alignment/>
      <protection/>
    </xf>
    <xf numFmtId="0" fontId="0" fillId="36" borderId="53" xfId="0" applyFill="1" applyBorder="1" applyAlignment="1" applyProtection="1">
      <alignment/>
      <protection/>
    </xf>
    <xf numFmtId="0" fontId="0" fillId="36" borderId="55" xfId="0" applyFill="1" applyBorder="1" applyAlignment="1" applyProtection="1">
      <alignment/>
      <protection/>
    </xf>
    <xf numFmtId="0" fontId="12" fillId="0" borderId="0" xfId="0" applyFont="1" applyAlignment="1" applyProtection="1">
      <alignment/>
      <protection/>
    </xf>
    <xf numFmtId="0" fontId="0" fillId="0" borderId="13" xfId="58" applyFont="1" applyBorder="1" applyProtection="1">
      <alignment/>
      <protection/>
    </xf>
    <xf numFmtId="0" fontId="0" fillId="0" borderId="0" xfId="58" applyFont="1" applyBorder="1" applyProtection="1">
      <alignment/>
      <protection/>
    </xf>
    <xf numFmtId="0" fontId="0" fillId="0" borderId="13" xfId="58" applyFont="1" applyBorder="1" applyAlignment="1" applyProtection="1">
      <alignment vertical="top"/>
      <protection/>
    </xf>
    <xf numFmtId="0" fontId="0" fillId="0" borderId="0" xfId="58" applyFont="1" applyBorder="1" applyAlignment="1" applyProtection="1">
      <alignment vertical="top"/>
      <protection/>
    </xf>
    <xf numFmtId="0" fontId="0" fillId="0" borderId="0" xfId="58" applyFont="1" applyProtection="1">
      <alignment/>
      <protection/>
    </xf>
    <xf numFmtId="0" fontId="0" fillId="0" borderId="0" xfId="58" applyFont="1" applyAlignment="1" applyProtection="1">
      <alignment vertical="top"/>
      <protection/>
    </xf>
    <xf numFmtId="0" fontId="0" fillId="0" borderId="0" xfId="58" applyFont="1" applyFill="1" applyProtection="1">
      <alignment/>
      <protection/>
    </xf>
    <xf numFmtId="0" fontId="1" fillId="0" borderId="0" xfId="58" applyFont="1" applyProtection="1">
      <alignment/>
      <protection/>
    </xf>
    <xf numFmtId="0" fontId="7" fillId="0" borderId="0" xfId="0" applyFont="1" applyAlignment="1" applyProtection="1">
      <alignment/>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vertical="center"/>
      <protection/>
    </xf>
    <xf numFmtId="0" fontId="16" fillId="0" borderId="0" xfId="0" applyFont="1" applyAlignment="1" applyProtection="1">
      <alignment vertical="center"/>
      <protection/>
    </xf>
    <xf numFmtId="0" fontId="7" fillId="0" borderId="0" xfId="0" applyFont="1" applyAlignment="1" applyProtection="1">
      <alignment vertical="top"/>
      <protection/>
    </xf>
    <xf numFmtId="0" fontId="4" fillId="0" borderId="0" xfId="57" applyFont="1" applyProtection="1">
      <alignment/>
      <protection/>
    </xf>
    <xf numFmtId="0" fontId="4" fillId="0" borderId="0" xfId="57" applyProtection="1">
      <alignment/>
      <protection/>
    </xf>
    <xf numFmtId="0" fontId="32" fillId="0" borderId="0" xfId="57" applyFont="1" applyProtection="1">
      <alignment/>
      <protection/>
    </xf>
    <xf numFmtId="0" fontId="33" fillId="33" borderId="16" xfId="0" applyFont="1" applyFill="1" applyBorder="1" applyAlignment="1" applyProtection="1">
      <alignment vertical="center"/>
      <protection/>
    </xf>
    <xf numFmtId="0" fontId="35" fillId="33" borderId="16" xfId="0" applyFont="1" applyFill="1" applyBorder="1" applyAlignment="1" applyProtection="1">
      <alignment vertical="center"/>
      <protection/>
    </xf>
    <xf numFmtId="0" fontId="33" fillId="33" borderId="18" xfId="0" applyFont="1" applyFill="1" applyBorder="1" applyAlignment="1" applyProtection="1">
      <alignment vertical="center"/>
      <protection/>
    </xf>
    <xf numFmtId="0" fontId="7" fillId="0" borderId="19" xfId="57" applyNumberFormat="1" applyFont="1" applyBorder="1" applyAlignment="1" applyProtection="1">
      <alignment horizontal="left" vertical="center"/>
      <protection/>
    </xf>
    <xf numFmtId="164" fontId="16" fillId="0" borderId="19" xfId="57" applyNumberFormat="1" applyFont="1" applyBorder="1" applyAlignment="1" applyProtection="1">
      <alignment horizontal="right" vertical="center"/>
      <protection/>
    </xf>
    <xf numFmtId="164" fontId="16" fillId="0" borderId="12" xfId="57" applyNumberFormat="1" applyFont="1" applyBorder="1" applyAlignment="1" applyProtection="1">
      <alignment horizontal="right" vertical="center"/>
      <protection/>
    </xf>
    <xf numFmtId="164" fontId="7" fillId="0" borderId="12" xfId="57" applyNumberFormat="1" applyFont="1" applyBorder="1" applyAlignment="1" applyProtection="1">
      <alignment horizontal="left" vertical="center"/>
      <protection/>
    </xf>
    <xf numFmtId="0" fontId="7" fillId="0" borderId="56" xfId="57" applyNumberFormat="1" applyFont="1" applyBorder="1" applyAlignment="1" applyProtection="1">
      <alignment horizontal="left" vertical="center"/>
      <protection/>
    </xf>
    <xf numFmtId="164" fontId="16" fillId="0" borderId="56" xfId="57" applyNumberFormat="1" applyFont="1" applyBorder="1" applyAlignment="1" applyProtection="1">
      <alignment horizontal="right" vertical="center"/>
      <protection/>
    </xf>
    <xf numFmtId="164" fontId="16" fillId="0" borderId="57" xfId="57" applyNumberFormat="1" applyFont="1" applyBorder="1" applyAlignment="1" applyProtection="1">
      <alignment horizontal="right" vertical="center"/>
      <protection/>
    </xf>
    <xf numFmtId="164" fontId="7" fillId="0" borderId="57" xfId="57" applyNumberFormat="1" applyFont="1" applyBorder="1" applyAlignment="1" applyProtection="1">
      <alignment horizontal="left" vertical="center"/>
      <protection/>
    </xf>
    <xf numFmtId="0" fontId="7" fillId="0" borderId="10" xfId="57" applyNumberFormat="1" applyFont="1" applyBorder="1" applyAlignment="1" applyProtection="1">
      <alignment horizontal="left" vertical="center"/>
      <protection/>
    </xf>
    <xf numFmtId="164" fontId="16" fillId="0" borderId="13" xfId="57" applyNumberFormat="1" applyFont="1" applyBorder="1" applyAlignment="1" applyProtection="1">
      <alignment horizontal="right" vertical="center"/>
      <protection/>
    </xf>
    <xf numFmtId="164" fontId="16" fillId="0" borderId="0" xfId="57" applyNumberFormat="1" applyFont="1" applyBorder="1" applyAlignment="1" applyProtection="1">
      <alignment horizontal="right" vertical="center"/>
      <protection/>
    </xf>
    <xf numFmtId="164" fontId="7" fillId="0" borderId="0" xfId="57" applyNumberFormat="1" applyFont="1" applyBorder="1" applyAlignment="1" applyProtection="1">
      <alignment horizontal="left" vertical="center" wrapText="1"/>
      <protection/>
    </xf>
    <xf numFmtId="0" fontId="7" fillId="0" borderId="11" xfId="57" applyNumberFormat="1" applyFont="1" applyBorder="1" applyAlignment="1" applyProtection="1">
      <alignment horizontal="left" vertical="center"/>
      <protection/>
    </xf>
    <xf numFmtId="164" fontId="16" fillId="0" borderId="16" xfId="57" applyNumberFormat="1" applyFont="1" applyBorder="1" applyAlignment="1" applyProtection="1">
      <alignment horizontal="right" vertical="center"/>
      <protection/>
    </xf>
    <xf numFmtId="164" fontId="7" fillId="0" borderId="18" xfId="57" applyNumberFormat="1" applyFont="1" applyBorder="1" applyAlignment="1" applyProtection="1">
      <alignment horizontal="left" vertical="center" wrapText="1"/>
      <protection/>
    </xf>
    <xf numFmtId="164" fontId="16" fillId="0" borderId="13" xfId="57" applyNumberFormat="1" applyFont="1" applyBorder="1" applyAlignment="1" applyProtection="1">
      <alignment horizontal="centerContinuous" vertical="center" wrapText="1"/>
      <protection/>
    </xf>
    <xf numFmtId="164" fontId="16" fillId="0" borderId="0" xfId="57" applyNumberFormat="1" applyFont="1" applyAlignment="1" applyProtection="1">
      <alignment horizontal="centerContinuous" vertical="center" wrapText="1"/>
      <protection/>
    </xf>
    <xf numFmtId="164" fontId="7" fillId="0" borderId="0" xfId="57" applyNumberFormat="1" applyFont="1" applyAlignment="1" applyProtection="1">
      <alignment horizontal="left" vertical="center" wrapText="1"/>
      <protection/>
    </xf>
    <xf numFmtId="0" fontId="7" fillId="0" borderId="19" xfId="57" applyNumberFormat="1" applyFont="1" applyBorder="1" applyAlignment="1" applyProtection="1">
      <alignment horizontal="left" vertical="top"/>
      <protection/>
    </xf>
    <xf numFmtId="164" fontId="14" fillId="0" borderId="12" xfId="57" applyNumberFormat="1" applyFont="1" applyBorder="1" applyAlignment="1" applyProtection="1">
      <alignment horizontal="centerContinuous" vertical="center" wrapText="1"/>
      <protection/>
    </xf>
    <xf numFmtId="164" fontId="14" fillId="0" borderId="0" xfId="57" applyNumberFormat="1" applyFont="1" applyAlignment="1" applyProtection="1">
      <alignment horizontal="centerContinuous" vertical="center" wrapText="1"/>
      <protection/>
    </xf>
    <xf numFmtId="164" fontId="14" fillId="0" borderId="0" xfId="57" applyNumberFormat="1" applyFont="1" applyAlignment="1" applyProtection="1">
      <alignment horizontal="left" vertical="center" wrapText="1"/>
      <protection/>
    </xf>
    <xf numFmtId="0" fontId="5" fillId="39" borderId="11" xfId="57" applyNumberFormat="1" applyFont="1" applyFill="1" applyBorder="1" applyAlignment="1" applyProtection="1">
      <alignment vertical="center"/>
      <protection/>
    </xf>
    <xf numFmtId="0" fontId="17" fillId="39" borderId="16" xfId="57" applyNumberFormat="1" applyFont="1" applyFill="1" applyBorder="1" applyAlignment="1" applyProtection="1">
      <alignment vertical="center"/>
      <protection/>
    </xf>
    <xf numFmtId="0" fontId="17" fillId="39" borderId="17" xfId="57" applyNumberFormat="1" applyFont="1" applyFill="1" applyBorder="1" applyAlignment="1" applyProtection="1">
      <alignment vertical="center"/>
      <protection/>
    </xf>
    <xf numFmtId="0" fontId="4" fillId="0" borderId="0" xfId="57" applyBorder="1" applyProtection="1">
      <alignment/>
      <protection/>
    </xf>
    <xf numFmtId="0" fontId="15" fillId="0" borderId="16" xfId="57" applyNumberFormat="1" applyFont="1" applyBorder="1" applyAlignment="1" applyProtection="1">
      <alignment vertical="center"/>
      <protection/>
    </xf>
    <xf numFmtId="0" fontId="15" fillId="0" borderId="18" xfId="57" applyNumberFormat="1" applyFont="1" applyBorder="1" applyAlignment="1" applyProtection="1">
      <alignment vertical="center"/>
      <protection/>
    </xf>
    <xf numFmtId="0" fontId="7" fillId="0" borderId="15" xfId="57" applyNumberFormat="1" applyFont="1" applyBorder="1" applyAlignment="1" applyProtection="1">
      <alignment horizontal="left" vertical="center"/>
      <protection/>
    </xf>
    <xf numFmtId="164" fontId="7" fillId="0" borderId="19" xfId="57" applyNumberFormat="1" applyFont="1" applyBorder="1" applyAlignment="1" applyProtection="1">
      <alignment horizontal="right" vertical="center"/>
      <protection/>
    </xf>
    <xf numFmtId="164" fontId="7" fillId="0" borderId="12" xfId="57" applyNumberFormat="1" applyFont="1" applyBorder="1" applyAlignment="1" applyProtection="1">
      <alignment horizontal="right" vertical="center"/>
      <protection/>
    </xf>
    <xf numFmtId="0" fontId="7" fillId="0" borderId="58" xfId="57" applyNumberFormat="1" applyFont="1" applyBorder="1" applyAlignment="1" applyProtection="1">
      <alignment horizontal="left" vertical="center"/>
      <protection/>
    </xf>
    <xf numFmtId="164" fontId="7" fillId="0" borderId="56" xfId="57" applyNumberFormat="1" applyFont="1" applyBorder="1" applyAlignment="1" applyProtection="1">
      <alignment horizontal="right" vertical="center"/>
      <protection/>
    </xf>
    <xf numFmtId="164" fontId="7" fillId="0" borderId="57" xfId="57" applyNumberFormat="1" applyFont="1" applyBorder="1" applyAlignment="1" applyProtection="1">
      <alignment horizontal="right" vertical="center"/>
      <protection/>
    </xf>
    <xf numFmtId="164" fontId="16" fillId="0" borderId="0" xfId="57" applyNumberFormat="1" applyFont="1" applyAlignment="1" applyProtection="1">
      <alignment horizontal="right" vertical="center"/>
      <protection/>
    </xf>
    <xf numFmtId="164" fontId="16" fillId="0" borderId="0" xfId="57" applyNumberFormat="1" applyFont="1" applyAlignment="1" applyProtection="1">
      <alignment horizontal="left" vertical="center"/>
      <protection/>
    </xf>
    <xf numFmtId="0" fontId="7" fillId="39" borderId="19" xfId="57" applyNumberFormat="1" applyFont="1" applyFill="1" applyBorder="1" applyAlignment="1" applyProtection="1">
      <alignment horizontal="left" vertical="center"/>
      <protection/>
    </xf>
    <xf numFmtId="164" fontId="16" fillId="39" borderId="12" xfId="57" applyNumberFormat="1" applyFont="1" applyFill="1" applyBorder="1" applyAlignment="1" applyProtection="1">
      <alignment horizontal="right" vertical="center"/>
      <protection/>
    </xf>
    <xf numFmtId="164" fontId="16" fillId="39" borderId="16" xfId="57" applyNumberFormat="1" applyFont="1" applyFill="1" applyBorder="1" applyAlignment="1" applyProtection="1">
      <alignment horizontal="right" vertical="center"/>
      <protection/>
    </xf>
    <xf numFmtId="164" fontId="16" fillId="39" borderId="16" xfId="57" applyNumberFormat="1" applyFont="1" applyFill="1" applyBorder="1" applyAlignment="1" applyProtection="1">
      <alignment horizontal="left" vertical="center"/>
      <protection/>
    </xf>
    <xf numFmtId="5" fontId="8" fillId="39" borderId="16" xfId="57" applyNumberFormat="1" applyFont="1" applyFill="1" applyBorder="1" applyAlignment="1" applyProtection="1">
      <alignment horizontal="right" vertical="center" shrinkToFit="1"/>
      <protection/>
    </xf>
    <xf numFmtId="0" fontId="7" fillId="0" borderId="30" xfId="57" applyNumberFormat="1" applyFont="1" applyBorder="1" applyAlignment="1" applyProtection="1">
      <alignment horizontal="left" vertical="center"/>
      <protection/>
    </xf>
    <xf numFmtId="0" fontId="7" fillId="0" borderId="59" xfId="57" applyNumberFormat="1" applyFont="1" applyBorder="1" applyAlignment="1" applyProtection="1">
      <alignment horizontal="left" vertical="center"/>
      <protection/>
    </xf>
    <xf numFmtId="164" fontId="7" fillId="0" borderId="60" xfId="57" applyNumberFormat="1" applyFont="1" applyBorder="1" applyAlignment="1" applyProtection="1">
      <alignment horizontal="right" vertical="center"/>
      <protection/>
    </xf>
    <xf numFmtId="0" fontId="5" fillId="0" borderId="10" xfId="57" applyNumberFormat="1" applyFont="1" applyBorder="1" applyAlignment="1" applyProtection="1">
      <alignment horizontal="left" vertical="center"/>
      <protection/>
    </xf>
    <xf numFmtId="0" fontId="14" fillId="0" borderId="11" xfId="57" applyNumberFormat="1" applyFont="1" applyBorder="1" applyAlignment="1" applyProtection="1">
      <alignment horizontal="right" vertical="center"/>
      <protection/>
    </xf>
    <xf numFmtId="0" fontId="14" fillId="0" borderId="16" xfId="57" applyNumberFormat="1" applyFont="1" applyBorder="1" applyAlignment="1" applyProtection="1">
      <alignment horizontal="right" vertical="center"/>
      <protection/>
    </xf>
    <xf numFmtId="164" fontId="10" fillId="0" borderId="12" xfId="57" applyNumberFormat="1" applyFont="1" applyBorder="1" applyAlignment="1" applyProtection="1">
      <alignment horizontal="left" vertical="center" wrapText="1"/>
      <protection/>
    </xf>
    <xf numFmtId="164" fontId="1" fillId="0" borderId="57" xfId="57" applyNumberFormat="1" applyFont="1" applyBorder="1" applyAlignment="1" applyProtection="1">
      <alignment horizontal="left" vertical="center" wrapText="1"/>
      <protection/>
    </xf>
    <xf numFmtId="0" fontId="8" fillId="0" borderId="30" xfId="57" applyNumberFormat="1" applyFont="1" applyBorder="1" applyAlignment="1" applyProtection="1">
      <alignment horizontal="left" vertical="center"/>
      <protection/>
    </xf>
    <xf numFmtId="164" fontId="7" fillId="0" borderId="13" xfId="57" applyNumberFormat="1" applyFont="1" applyBorder="1" applyAlignment="1" applyProtection="1">
      <alignment horizontal="right" vertical="center"/>
      <protection/>
    </xf>
    <xf numFmtId="164" fontId="7" fillId="0" borderId="0" xfId="57" applyNumberFormat="1" applyFont="1" applyAlignment="1" applyProtection="1">
      <alignment horizontal="right" vertical="center"/>
      <protection/>
    </xf>
    <xf numFmtId="164" fontId="7" fillId="0" borderId="0" xfId="57" applyNumberFormat="1" applyFont="1" applyAlignment="1" applyProtection="1">
      <alignment horizontal="left" vertical="center"/>
      <protection/>
    </xf>
    <xf numFmtId="0" fontId="8" fillId="39" borderId="21" xfId="57" applyNumberFormat="1" applyFont="1" applyFill="1" applyBorder="1" applyAlignment="1" applyProtection="1">
      <alignment horizontal="left" vertical="center"/>
      <protection/>
    </xf>
    <xf numFmtId="164" fontId="7" fillId="39" borderId="17" xfId="57" applyNumberFormat="1" applyFont="1" applyFill="1" applyBorder="1" applyAlignment="1" applyProtection="1">
      <alignment horizontal="right" vertical="center"/>
      <protection/>
    </xf>
    <xf numFmtId="164" fontId="7" fillId="39" borderId="29" xfId="57" applyNumberFormat="1" applyFont="1" applyFill="1" applyBorder="1" applyAlignment="1" applyProtection="1">
      <alignment horizontal="left" vertical="center"/>
      <protection/>
    </xf>
    <xf numFmtId="0" fontId="4" fillId="39" borderId="11" xfId="57" applyFill="1" applyBorder="1" applyProtection="1">
      <alignment/>
      <protection/>
    </xf>
    <xf numFmtId="164" fontId="7" fillId="39" borderId="16" xfId="57" applyNumberFormat="1" applyFont="1" applyFill="1" applyBorder="1" applyAlignment="1" applyProtection="1">
      <alignment horizontal="right" vertical="center"/>
      <protection/>
    </xf>
    <xf numFmtId="0" fontId="8" fillId="39" borderId="16" xfId="57" applyNumberFormat="1" applyFont="1" applyFill="1" applyBorder="1" applyAlignment="1" applyProtection="1">
      <alignment horizontal="left" vertical="center"/>
      <protection/>
    </xf>
    <xf numFmtId="0" fontId="5" fillId="39" borderId="16" xfId="57" applyNumberFormat="1" applyFont="1" applyFill="1" applyBorder="1" applyAlignment="1" applyProtection="1">
      <alignment horizontal="center" vertical="center"/>
      <protection/>
    </xf>
    <xf numFmtId="0" fontId="5" fillId="39" borderId="18" xfId="57" applyNumberFormat="1" applyFont="1" applyFill="1" applyBorder="1" applyAlignment="1" applyProtection="1">
      <alignment horizontal="center" vertical="center"/>
      <protection/>
    </xf>
    <xf numFmtId="0" fontId="10" fillId="0" borderId="11" xfId="57" applyFont="1" applyBorder="1" applyProtection="1">
      <alignment/>
      <protection/>
    </xf>
    <xf numFmtId="0" fontId="14" fillId="0" borderId="19" xfId="57" applyNumberFormat="1" applyFont="1" applyBorder="1" applyAlignment="1" applyProtection="1">
      <alignment horizontal="right" vertical="center"/>
      <protection/>
    </xf>
    <xf numFmtId="0" fontId="14" fillId="0" borderId="12" xfId="57" applyNumberFormat="1" applyFont="1" applyBorder="1" applyAlignment="1" applyProtection="1">
      <alignment horizontal="right" vertical="center"/>
      <protection/>
    </xf>
    <xf numFmtId="0" fontId="16" fillId="0" borderId="11" xfId="57" applyNumberFormat="1" applyFont="1" applyFill="1" applyBorder="1" applyAlignment="1" applyProtection="1">
      <alignment horizontal="left" vertical="center"/>
      <protection/>
    </xf>
    <xf numFmtId="164" fontId="7" fillId="0" borderId="16" xfId="57" applyNumberFormat="1" applyFont="1" applyFill="1" applyBorder="1" applyAlignment="1" applyProtection="1">
      <alignment horizontal="right" vertical="center"/>
      <protection/>
    </xf>
    <xf numFmtId="164" fontId="7" fillId="0" borderId="16" xfId="57" applyNumberFormat="1" applyFont="1" applyFill="1" applyBorder="1" applyAlignment="1" applyProtection="1">
      <alignment horizontal="left" vertical="center"/>
      <protection/>
    </xf>
    <xf numFmtId="5" fontId="8" fillId="0" borderId="10" xfId="57" applyNumberFormat="1" applyFont="1" applyBorder="1" applyAlignment="1" applyProtection="1">
      <alignment horizontal="right" vertical="center"/>
      <protection/>
    </xf>
    <xf numFmtId="5" fontId="4" fillId="0" borderId="0" xfId="57" applyNumberFormat="1" applyProtection="1">
      <alignment/>
      <protection/>
    </xf>
    <xf numFmtId="164" fontId="16" fillId="0" borderId="16" xfId="57" applyNumberFormat="1" applyFont="1" applyFill="1" applyBorder="1" applyAlignment="1" applyProtection="1">
      <alignment horizontal="left" vertical="center"/>
      <protection/>
    </xf>
    <xf numFmtId="0" fontId="16" fillId="0" borderId="11" xfId="57" applyNumberFormat="1" applyFont="1" applyFill="1" applyBorder="1" applyAlignment="1" applyProtection="1">
      <alignment vertical="center"/>
      <protection/>
    </xf>
    <xf numFmtId="0" fontId="14" fillId="0" borderId="16" xfId="57" applyNumberFormat="1" applyFont="1" applyFill="1" applyBorder="1" applyAlignment="1" applyProtection="1">
      <alignment vertical="center"/>
      <protection/>
    </xf>
    <xf numFmtId="0" fontId="0" fillId="0" borderId="16" xfId="57" applyNumberFormat="1" applyFont="1" applyFill="1" applyBorder="1" applyAlignment="1" applyProtection="1">
      <alignment horizontal="left" vertical="center" wrapText="1"/>
      <protection/>
    </xf>
    <xf numFmtId="5" fontId="8" fillId="39" borderId="10" xfId="57" applyNumberFormat="1" applyFont="1" applyFill="1" applyBorder="1" applyAlignment="1" applyProtection="1">
      <alignment horizontal="right"/>
      <protection/>
    </xf>
    <xf numFmtId="0" fontId="19" fillId="0" borderId="0" xfId="57" applyNumberFormat="1" applyFont="1" applyAlignment="1" applyProtection="1">
      <alignment vertical="top"/>
      <protection/>
    </xf>
    <xf numFmtId="0" fontId="32" fillId="33" borderId="11" xfId="57" applyNumberFormat="1" applyFont="1" applyFill="1" applyBorder="1" applyAlignment="1" applyProtection="1">
      <alignment horizontal="left" vertical="center" indent="1"/>
      <protection/>
    </xf>
    <xf numFmtId="0" fontId="15" fillId="33" borderId="16" xfId="57" applyNumberFormat="1" applyFont="1" applyFill="1" applyBorder="1" applyAlignment="1" applyProtection="1">
      <alignment vertical="center"/>
      <protection/>
    </xf>
    <xf numFmtId="0" fontId="15" fillId="33" borderId="18" xfId="57" applyNumberFormat="1" applyFont="1" applyFill="1" applyBorder="1" applyAlignment="1" applyProtection="1">
      <alignment vertical="center"/>
      <protection/>
    </xf>
    <xf numFmtId="5" fontId="15" fillId="33" borderId="22" xfId="57" applyNumberFormat="1" applyFont="1" applyFill="1" applyBorder="1" applyAlignment="1" applyProtection="1">
      <alignment horizontal="right" vertical="top"/>
      <protection/>
    </xf>
    <xf numFmtId="0" fontId="4" fillId="0" borderId="0" xfId="57" applyNumberFormat="1" applyFont="1" applyAlignment="1" applyProtection="1">
      <alignment vertical="top"/>
      <protection/>
    </xf>
    <xf numFmtId="0" fontId="8" fillId="0" borderId="11" xfId="57" applyNumberFormat="1" applyFont="1" applyBorder="1" applyAlignment="1" applyProtection="1">
      <alignment horizontal="left" vertical="center"/>
      <protection/>
    </xf>
    <xf numFmtId="1" fontId="8" fillId="0" borderId="16" xfId="57" applyNumberFormat="1" applyFont="1" applyBorder="1" applyAlignment="1" applyProtection="1">
      <alignment horizontal="right" vertical="center"/>
      <protection/>
    </xf>
    <xf numFmtId="1" fontId="14" fillId="0" borderId="16" xfId="57" applyNumberFormat="1" applyFont="1" applyBorder="1" applyAlignment="1" applyProtection="1">
      <alignment horizontal="right" vertical="center"/>
      <protection/>
    </xf>
    <xf numFmtId="1" fontId="11" fillId="0" borderId="18" xfId="57" applyNumberFormat="1" applyFont="1" applyBorder="1" applyAlignment="1" applyProtection="1">
      <alignment horizontal="left" vertical="center"/>
      <protection/>
    </xf>
    <xf numFmtId="5" fontId="34" fillId="33" borderId="30" xfId="57" applyNumberFormat="1" applyFont="1" applyFill="1" applyBorder="1" applyAlignment="1" applyProtection="1">
      <alignment horizontal="center" vertical="center"/>
      <protection/>
    </xf>
    <xf numFmtId="1" fontId="14" fillId="0" borderId="18" xfId="57" applyNumberFormat="1" applyFont="1" applyBorder="1" applyAlignment="1" applyProtection="1">
      <alignment horizontal="right" vertical="center"/>
      <protection/>
    </xf>
    <xf numFmtId="182" fontId="7" fillId="0" borderId="10" xfId="57" applyNumberFormat="1" applyFont="1" applyBorder="1" applyAlignment="1" applyProtection="1">
      <alignment horizontal="center" vertical="center"/>
      <protection/>
    </xf>
    <xf numFmtId="5" fontId="0" fillId="33" borderId="30" xfId="57" applyNumberFormat="1" applyFont="1" applyFill="1" applyBorder="1" applyAlignment="1" applyProtection="1">
      <alignment vertical="top"/>
      <protection/>
    </xf>
    <xf numFmtId="0" fontId="8" fillId="0" borderId="21" xfId="57" applyNumberFormat="1" applyFont="1" applyBorder="1" applyAlignment="1" applyProtection="1">
      <alignment horizontal="left"/>
      <protection/>
    </xf>
    <xf numFmtId="1" fontId="8" fillId="0" borderId="17" xfId="57" applyNumberFormat="1" applyFont="1" applyBorder="1" applyAlignment="1" applyProtection="1">
      <alignment horizontal="right" vertical="center"/>
      <protection/>
    </xf>
    <xf numFmtId="1" fontId="14" fillId="0" borderId="17" xfId="57" applyNumberFormat="1" applyFont="1" applyBorder="1" applyAlignment="1" applyProtection="1">
      <alignment horizontal="right" vertical="center"/>
      <protection/>
    </xf>
    <xf numFmtId="1" fontId="14" fillId="0" borderId="29" xfId="57" applyNumberFormat="1" applyFont="1" applyBorder="1" applyAlignment="1" applyProtection="1">
      <alignment horizontal="right" vertical="center"/>
      <protection/>
    </xf>
    <xf numFmtId="166" fontId="7" fillId="0" borderId="30" xfId="57" applyNumberFormat="1" applyFont="1" applyBorder="1" applyAlignment="1" applyProtection="1">
      <alignment horizontal="center"/>
      <protection/>
    </xf>
    <xf numFmtId="0" fontId="16" fillId="0" borderId="19" xfId="57" applyNumberFormat="1" applyFont="1" applyBorder="1" applyAlignment="1" applyProtection="1">
      <alignment horizontal="left" vertical="top"/>
      <protection/>
    </xf>
    <xf numFmtId="1" fontId="8" fillId="0" borderId="12" xfId="57" applyNumberFormat="1" applyFont="1" applyBorder="1" applyAlignment="1" applyProtection="1">
      <alignment horizontal="right" vertical="center"/>
      <protection/>
    </xf>
    <xf numFmtId="1" fontId="14" fillId="0" borderId="12" xfId="57" applyNumberFormat="1" applyFont="1" applyBorder="1" applyAlignment="1" applyProtection="1">
      <alignment horizontal="right" vertical="center"/>
      <protection/>
    </xf>
    <xf numFmtId="1" fontId="14" fillId="0" borderId="20" xfId="57" applyNumberFormat="1" applyFont="1" applyBorder="1" applyAlignment="1" applyProtection="1">
      <alignment horizontal="right" vertical="center"/>
      <protection/>
    </xf>
    <xf numFmtId="5" fontId="7" fillId="0" borderId="15" xfId="57" applyNumberFormat="1" applyFont="1" applyBorder="1" applyAlignment="1" applyProtection="1">
      <alignment horizontal="right" vertical="center"/>
      <protection/>
    </xf>
    <xf numFmtId="5" fontId="7" fillId="0" borderId="15" xfId="57" applyNumberFormat="1" applyFont="1" applyBorder="1" applyAlignment="1" applyProtection="1">
      <alignment vertical="center"/>
      <protection/>
    </xf>
    <xf numFmtId="5" fontId="0" fillId="33" borderId="15" xfId="57" applyNumberFormat="1" applyFont="1" applyFill="1" applyBorder="1" applyAlignment="1" applyProtection="1">
      <alignment vertical="top"/>
      <protection/>
    </xf>
    <xf numFmtId="0" fontId="18" fillId="0" borderId="0" xfId="57" applyNumberFormat="1" applyFont="1" applyAlignment="1" applyProtection="1">
      <alignment horizontal="left" vertical="center"/>
      <protection/>
    </xf>
    <xf numFmtId="5" fontId="14" fillId="0" borderId="0" xfId="57" applyNumberFormat="1" applyFont="1" applyAlignment="1" applyProtection="1">
      <alignment horizontal="right" vertical="top"/>
      <protection/>
    </xf>
    <xf numFmtId="0" fontId="16" fillId="0" borderId="0" xfId="57" applyNumberFormat="1" applyFont="1" applyAlignment="1" applyProtection="1">
      <alignment horizontal="left" vertical="top"/>
      <protection/>
    </xf>
    <xf numFmtId="0" fontId="20" fillId="0" borderId="0" xfId="57" applyNumberFormat="1" applyFont="1" applyAlignment="1" applyProtection="1">
      <alignment horizontal="left" vertical="top"/>
      <protection/>
    </xf>
    <xf numFmtId="1" fontId="20" fillId="0" borderId="0" xfId="57" applyNumberFormat="1" applyFont="1" applyAlignment="1" applyProtection="1">
      <alignment horizontal="right" vertical="top"/>
      <protection/>
    </xf>
    <xf numFmtId="5" fontId="20" fillId="0" borderId="0" xfId="57" applyNumberFormat="1" applyFont="1" applyAlignment="1" applyProtection="1">
      <alignment horizontal="right" vertical="top"/>
      <protection/>
    </xf>
    <xf numFmtId="5" fontId="4" fillId="0" borderId="0" xfId="57" applyNumberFormat="1" applyFont="1" applyAlignment="1" applyProtection="1">
      <alignment vertical="top"/>
      <protection/>
    </xf>
    <xf numFmtId="7" fontId="20" fillId="0" borderId="0" xfId="57" applyNumberFormat="1" applyFont="1" applyAlignment="1" applyProtection="1">
      <alignment horizontal="left" vertical="top"/>
      <protection/>
    </xf>
    <xf numFmtId="5" fontId="20" fillId="0" borderId="0" xfId="57" applyNumberFormat="1" applyFont="1" applyAlignment="1" applyProtection="1">
      <alignment horizontal="left" vertical="top"/>
      <protection/>
    </xf>
    <xf numFmtId="5" fontId="18" fillId="0" borderId="0" xfId="57" applyNumberFormat="1" applyFont="1" applyFill="1" applyBorder="1" applyAlignment="1" applyProtection="1">
      <alignment vertical="center"/>
      <protection/>
    </xf>
    <xf numFmtId="5" fontId="32" fillId="0" borderId="0" xfId="57" applyNumberFormat="1" applyFont="1" applyBorder="1" applyAlignment="1" applyProtection="1">
      <alignment horizontal="center" vertical="center"/>
      <protection/>
    </xf>
    <xf numFmtId="0" fontId="10" fillId="0" borderId="0" xfId="0" applyFont="1" applyAlignment="1" applyProtection="1">
      <alignment/>
      <protection/>
    </xf>
    <xf numFmtId="0" fontId="16" fillId="0" borderId="0" xfId="0" applyFont="1" applyAlignment="1" applyProtection="1">
      <alignment/>
      <protection/>
    </xf>
    <xf numFmtId="5" fontId="48" fillId="0" borderId="0" xfId="57" applyNumberFormat="1" applyFont="1" applyBorder="1" applyAlignment="1" applyProtection="1">
      <alignment horizontal="left" vertical="top"/>
      <protection/>
    </xf>
    <xf numFmtId="2" fontId="8" fillId="0" borderId="0" xfId="57" applyNumberFormat="1" applyFont="1" applyBorder="1" applyAlignment="1" applyProtection="1">
      <alignment horizontal="center" vertical="center"/>
      <protection/>
    </xf>
    <xf numFmtId="2" fontId="0" fillId="0" borderId="0" xfId="0" applyNumberFormat="1" applyBorder="1" applyAlignment="1" applyProtection="1">
      <alignment/>
      <protection/>
    </xf>
    <xf numFmtId="0" fontId="0" fillId="0" borderId="0" xfId="57" applyNumberFormat="1" applyFont="1" applyFill="1" applyBorder="1" applyAlignment="1" applyProtection="1">
      <alignment vertical="top"/>
      <protection/>
    </xf>
    <xf numFmtId="0" fontId="14" fillId="0" borderId="0" xfId="0" applyFont="1" applyAlignment="1" applyProtection="1">
      <alignment/>
      <protection/>
    </xf>
    <xf numFmtId="0" fontId="10" fillId="0" borderId="0" xfId="57" applyNumberFormat="1" applyFont="1" applyAlignment="1" applyProtection="1">
      <alignment/>
      <protection/>
    </xf>
    <xf numFmtId="0" fontId="0" fillId="0" borderId="0" xfId="57" applyNumberFormat="1" applyFont="1" applyBorder="1" applyAlignment="1" applyProtection="1">
      <alignment/>
      <protection/>
    </xf>
    <xf numFmtId="0" fontId="16" fillId="0" borderId="0" xfId="57" applyNumberFormat="1" applyFont="1" applyAlignment="1" applyProtection="1">
      <alignment/>
      <protection/>
    </xf>
    <xf numFmtId="0" fontId="10" fillId="0" borderId="0" xfId="57" applyNumberFormat="1" applyFont="1" applyAlignment="1" applyProtection="1">
      <alignment horizontal="centerContinuous" vertical="center"/>
      <protection/>
    </xf>
    <xf numFmtId="0" fontId="0" fillId="0" borderId="0" xfId="57" applyNumberFormat="1" applyFont="1" applyAlignment="1" applyProtection="1">
      <alignment horizontal="centerContinuous" vertical="top"/>
      <protection/>
    </xf>
    <xf numFmtId="5" fontId="0" fillId="0" borderId="0" xfId="57" applyNumberFormat="1" applyFont="1" applyAlignment="1" applyProtection="1">
      <alignment horizontal="centerContinuous" vertical="top"/>
      <protection/>
    </xf>
    <xf numFmtId="0" fontId="0" fillId="0" borderId="0" xfId="0" applyBorder="1" applyAlignment="1" applyProtection="1">
      <alignment/>
      <protection locked="0"/>
    </xf>
    <xf numFmtId="0" fontId="11" fillId="0" borderId="0" xfId="57" applyNumberFormat="1" applyFont="1" applyAlignment="1" applyProtection="1">
      <alignment vertical="center"/>
      <protection/>
    </xf>
    <xf numFmtId="0" fontId="9" fillId="0" borderId="0" xfId="57" applyNumberFormat="1" applyFont="1" applyAlignment="1" applyProtection="1">
      <alignment vertical="top"/>
      <protection/>
    </xf>
    <xf numFmtId="0" fontId="15" fillId="0" borderId="0" xfId="57" applyNumberFormat="1" applyFont="1" applyAlignment="1" applyProtection="1">
      <alignment vertical="top"/>
      <protection/>
    </xf>
    <xf numFmtId="5" fontId="15" fillId="0" borderId="0" xfId="57" applyNumberFormat="1" applyFont="1" applyAlignment="1" applyProtection="1">
      <alignment vertical="top"/>
      <protection/>
    </xf>
    <xf numFmtId="5" fontId="11" fillId="0" borderId="0" xfId="57" applyNumberFormat="1" applyFont="1" applyAlignment="1" applyProtection="1">
      <alignment horizontal="right" vertical="center"/>
      <protection/>
    </xf>
    <xf numFmtId="0" fontId="1" fillId="0" borderId="12" xfId="0" applyFont="1" applyBorder="1" applyAlignment="1" applyProtection="1">
      <alignment horizontal="centerContinuous"/>
      <protection/>
    </xf>
    <xf numFmtId="0" fontId="0" fillId="0" borderId="12" xfId="0" applyBorder="1" applyAlignment="1" applyProtection="1">
      <alignment horizontal="centerContinuous"/>
      <protection/>
    </xf>
    <xf numFmtId="0" fontId="16" fillId="0" borderId="0" xfId="57" applyNumberFormat="1" applyFont="1" applyAlignment="1" applyProtection="1">
      <alignment vertical="top"/>
      <protection/>
    </xf>
    <xf numFmtId="0" fontId="6" fillId="0" borderId="0" xfId="57" applyNumberFormat="1" applyFont="1" applyAlignment="1" applyProtection="1">
      <alignment vertical="top"/>
      <protection/>
    </xf>
    <xf numFmtId="0" fontId="14" fillId="0" borderId="0" xfId="57" applyNumberFormat="1" applyFont="1" applyAlignment="1" applyProtection="1">
      <alignment vertical="top"/>
      <protection/>
    </xf>
    <xf numFmtId="5" fontId="15" fillId="0" borderId="0" xfId="57" applyNumberFormat="1" applyFont="1" applyAlignment="1" applyProtection="1">
      <alignment vertical="center"/>
      <protection/>
    </xf>
    <xf numFmtId="5" fontId="16" fillId="0" borderId="0" xfId="57" applyNumberFormat="1" applyFont="1" applyAlignment="1" applyProtection="1">
      <alignment vertical="top"/>
      <protection/>
    </xf>
    <xf numFmtId="0" fontId="51" fillId="0" borderId="0" xfId="57" applyNumberFormat="1" applyFont="1" applyAlignment="1" applyProtection="1">
      <alignment horizontal="right" vertical="center"/>
      <protection/>
    </xf>
    <xf numFmtId="0" fontId="0" fillId="0" borderId="0" xfId="0" applyAlignment="1" applyProtection="1">
      <alignment horizontal="center"/>
      <protection/>
    </xf>
    <xf numFmtId="0" fontId="0" fillId="0" borderId="0" xfId="0" applyFont="1" applyAlignment="1" applyProtection="1">
      <alignment horizontal="center"/>
      <protection/>
    </xf>
    <xf numFmtId="0" fontId="18" fillId="0" borderId="61" xfId="57" applyNumberFormat="1" applyFont="1" applyBorder="1" applyAlignment="1" applyProtection="1">
      <alignment vertical="center"/>
      <protection/>
    </xf>
    <xf numFmtId="0" fontId="18" fillId="0" borderId="62" xfId="57" applyNumberFormat="1" applyFont="1" applyBorder="1" applyAlignment="1" applyProtection="1">
      <alignment vertical="center"/>
      <protection/>
    </xf>
    <xf numFmtId="0" fontId="16" fillId="0" borderId="62" xfId="0" applyFont="1" applyBorder="1" applyAlignment="1" applyProtection="1">
      <alignment/>
      <protection/>
    </xf>
    <xf numFmtId="2" fontId="16" fillId="0" borderId="0" xfId="0" applyNumberFormat="1" applyFont="1" applyAlignment="1" applyProtection="1">
      <alignment horizontal="center"/>
      <protection/>
    </xf>
    <xf numFmtId="2" fontId="16" fillId="0" borderId="0" xfId="0" applyNumberFormat="1" applyFont="1" applyAlignment="1" applyProtection="1">
      <alignment/>
      <protection/>
    </xf>
    <xf numFmtId="0" fontId="52" fillId="0" borderId="0" xfId="57" applyFont="1" applyProtection="1">
      <alignment/>
      <protection/>
    </xf>
    <xf numFmtId="0" fontId="0" fillId="0" borderId="63" xfId="57" applyNumberFormat="1" applyFont="1" applyBorder="1" applyAlignment="1" applyProtection="1">
      <alignment vertical="top"/>
      <protection/>
    </xf>
    <xf numFmtId="0" fontId="1" fillId="0" borderId="64" xfId="57" applyNumberFormat="1" applyFont="1" applyBorder="1" applyAlignment="1" applyProtection="1">
      <alignment vertical="top"/>
      <protection/>
    </xf>
    <xf numFmtId="0" fontId="7" fillId="0" borderId="0" xfId="57" applyNumberFormat="1" applyFont="1" applyBorder="1" applyAlignment="1" applyProtection="1">
      <alignment vertical="top"/>
      <protection/>
    </xf>
    <xf numFmtId="5" fontId="17" fillId="38" borderId="30" xfId="57" applyNumberFormat="1" applyFont="1" applyFill="1" applyBorder="1" applyAlignment="1" applyProtection="1">
      <alignment horizontal="center" vertical="center"/>
      <protection/>
    </xf>
    <xf numFmtId="0" fontId="15" fillId="0" borderId="14" xfId="57" applyNumberFormat="1" applyFont="1" applyBorder="1" applyAlignment="1" applyProtection="1">
      <alignment horizontal="center" vertical="center" shrinkToFit="1"/>
      <protection/>
    </xf>
    <xf numFmtId="0" fontId="15" fillId="0" borderId="65" xfId="57" applyNumberFormat="1" applyFont="1" applyBorder="1" applyAlignment="1" applyProtection="1">
      <alignment horizontal="center" vertical="center"/>
      <protection/>
    </xf>
    <xf numFmtId="2" fontId="0" fillId="0" borderId="0" xfId="0" applyNumberFormat="1" applyAlignment="1" applyProtection="1">
      <alignment horizontal="center"/>
      <protection/>
    </xf>
    <xf numFmtId="39" fontId="0" fillId="0" borderId="0" xfId="0" applyNumberFormat="1" applyAlignment="1" applyProtection="1">
      <alignment/>
      <protection/>
    </xf>
    <xf numFmtId="0" fontId="17" fillId="38" borderId="15" xfId="0" applyFont="1" applyFill="1" applyBorder="1" applyAlignment="1" applyProtection="1">
      <alignment horizontal="center" vertical="center"/>
      <protection/>
    </xf>
    <xf numFmtId="0" fontId="15" fillId="0" borderId="15" xfId="57" applyNumberFormat="1" applyFont="1" applyBorder="1" applyAlignment="1" applyProtection="1">
      <alignment horizontal="center" vertical="center" shrinkToFit="1"/>
      <protection/>
    </xf>
    <xf numFmtId="0" fontId="15" fillId="0" borderId="66" xfId="57" applyNumberFormat="1" applyFont="1" applyBorder="1" applyAlignment="1" applyProtection="1">
      <alignment horizontal="center" vertical="center"/>
      <protection/>
    </xf>
    <xf numFmtId="0" fontId="10" fillId="0" borderId="20" xfId="57" applyNumberFormat="1" applyFont="1" applyBorder="1" applyAlignment="1" applyProtection="1">
      <alignment horizontal="center" vertical="center"/>
      <protection/>
    </xf>
    <xf numFmtId="2" fontId="0" fillId="0" borderId="66" xfId="57" applyNumberFormat="1" applyFont="1" applyBorder="1" applyAlignment="1" applyProtection="1">
      <alignment horizontal="center" vertical="center" shrinkToFit="1"/>
      <protection/>
    </xf>
    <xf numFmtId="0" fontId="0" fillId="0" borderId="67" xfId="0" applyBorder="1" applyAlignment="1" applyProtection="1">
      <alignment/>
      <protection/>
    </xf>
    <xf numFmtId="2" fontId="0" fillId="0" borderId="25" xfId="57" applyNumberFormat="1" applyFont="1" applyBorder="1" applyAlignment="1" applyProtection="1">
      <alignment horizontal="center" vertical="center"/>
      <protection/>
    </xf>
    <xf numFmtId="0" fontId="10" fillId="0" borderId="18" xfId="57" applyNumberFormat="1" applyFont="1" applyBorder="1" applyAlignment="1" applyProtection="1">
      <alignment horizontal="center" vertical="center"/>
      <protection/>
    </xf>
    <xf numFmtId="2" fontId="0" fillId="0" borderId="68" xfId="57" applyNumberFormat="1" applyFont="1" applyBorder="1" applyAlignment="1" applyProtection="1">
      <alignment horizontal="center" vertical="center"/>
      <protection/>
    </xf>
    <xf numFmtId="0" fontId="10" fillId="0" borderId="46" xfId="57" applyNumberFormat="1" applyFont="1" applyBorder="1" applyAlignment="1" applyProtection="1">
      <alignment horizontal="center" vertical="center"/>
      <protection/>
    </xf>
    <xf numFmtId="2" fontId="0" fillId="0" borderId="65" xfId="57" applyNumberFormat="1" applyFont="1" applyBorder="1" applyAlignment="1" applyProtection="1">
      <alignment horizontal="center" vertical="center" shrinkToFit="1"/>
      <protection/>
    </xf>
    <xf numFmtId="0" fontId="10" fillId="0" borderId="15" xfId="57" applyNumberFormat="1" applyFont="1" applyFill="1" applyBorder="1" applyAlignment="1" applyProtection="1">
      <alignment horizontal="center"/>
      <protection/>
    </xf>
    <xf numFmtId="0" fontId="10" fillId="0" borderId="19" xfId="57" applyNumberFormat="1" applyFont="1" applyBorder="1" applyAlignment="1" applyProtection="1">
      <alignment horizontal="center" wrapText="1"/>
      <protection/>
    </xf>
    <xf numFmtId="0" fontId="10" fillId="0" borderId="0" xfId="57" applyNumberFormat="1" applyFont="1" applyBorder="1" applyAlignment="1" applyProtection="1">
      <alignment horizontal="center" vertical="center"/>
      <protection/>
    </xf>
    <xf numFmtId="2" fontId="0" fillId="0" borderId="67" xfId="57" applyNumberFormat="1" applyFont="1" applyBorder="1" applyAlignment="1" applyProtection="1">
      <alignment horizontal="center" vertical="center"/>
      <protection/>
    </xf>
    <xf numFmtId="2" fontId="8" fillId="0" borderId="14" xfId="57" applyNumberFormat="1" applyFont="1" applyBorder="1" applyAlignment="1" applyProtection="1">
      <alignment horizontal="center" vertical="center"/>
      <protection/>
    </xf>
    <xf numFmtId="0" fontId="10" fillId="0" borderId="11" xfId="57" applyNumberFormat="1" applyFont="1" applyBorder="1" applyAlignment="1" applyProtection="1">
      <alignment horizontal="left" vertical="center"/>
      <protection/>
    </xf>
    <xf numFmtId="0" fontId="10" fillId="0" borderId="12" xfId="57" applyNumberFormat="1" applyFont="1" applyBorder="1" applyAlignment="1" applyProtection="1">
      <alignment horizontal="center"/>
      <protection/>
    </xf>
    <xf numFmtId="0" fontId="10" fillId="0" borderId="0" xfId="57" applyNumberFormat="1" applyFont="1" applyBorder="1" applyAlignment="1" applyProtection="1">
      <alignment horizontal="center" wrapText="1"/>
      <protection/>
    </xf>
    <xf numFmtId="5" fontId="32" fillId="33" borderId="61" xfId="57" applyNumberFormat="1" applyFont="1" applyFill="1" applyBorder="1" applyAlignment="1" applyProtection="1">
      <alignment horizontal="center" vertical="center"/>
      <protection/>
    </xf>
    <xf numFmtId="5" fontId="32" fillId="33" borderId="62" xfId="57" applyNumberFormat="1" applyFont="1" applyFill="1" applyBorder="1" applyAlignment="1" applyProtection="1">
      <alignment horizontal="center" vertical="center"/>
      <protection/>
    </xf>
    <xf numFmtId="5" fontId="38" fillId="33" borderId="62" xfId="57" applyNumberFormat="1" applyFont="1" applyFill="1" applyBorder="1" applyAlignment="1" applyProtection="1">
      <alignment horizontal="right" vertical="center"/>
      <protection/>
    </xf>
    <xf numFmtId="5" fontId="32" fillId="33" borderId="67" xfId="57" applyNumberFormat="1" applyFont="1" applyFill="1" applyBorder="1" applyAlignment="1" applyProtection="1">
      <alignment horizontal="center" vertical="center"/>
      <protection/>
    </xf>
    <xf numFmtId="0" fontId="0" fillId="33" borderId="16" xfId="0" applyFill="1" applyBorder="1" applyAlignment="1" applyProtection="1">
      <alignment/>
      <protection/>
    </xf>
    <xf numFmtId="0" fontId="0" fillId="33" borderId="18" xfId="0" applyFill="1" applyBorder="1" applyAlignment="1" applyProtection="1">
      <alignment/>
      <protection/>
    </xf>
    <xf numFmtId="0" fontId="14" fillId="0" borderId="0" xfId="0" applyFont="1" applyAlignment="1" applyProtection="1">
      <alignment/>
      <protection/>
    </xf>
    <xf numFmtId="0" fontId="10" fillId="0" borderId="0" xfId="57" applyNumberFormat="1" applyFont="1" applyAlignment="1" applyProtection="1">
      <alignment vertical="center"/>
      <protection/>
    </xf>
    <xf numFmtId="0" fontId="1" fillId="0" borderId="0" xfId="57" applyFont="1" applyAlignment="1" applyProtection="1">
      <alignment vertical="center"/>
      <protection/>
    </xf>
    <xf numFmtId="5" fontId="0" fillId="0" borderId="17" xfId="57" applyNumberFormat="1" applyFont="1" applyBorder="1" applyAlignment="1" applyProtection="1">
      <alignment vertical="top"/>
      <protection/>
    </xf>
    <xf numFmtId="0" fontId="0" fillId="0" borderId="17" xfId="57" applyNumberFormat="1" applyFont="1" applyBorder="1" applyAlignment="1" applyProtection="1">
      <alignment vertical="top"/>
      <protection/>
    </xf>
    <xf numFmtId="5" fontId="1" fillId="36" borderId="22" xfId="57" applyNumberFormat="1" applyFont="1" applyFill="1" applyBorder="1" applyAlignment="1" applyProtection="1">
      <alignment horizontal="center" vertical="center"/>
      <protection/>
    </xf>
    <xf numFmtId="0" fontId="1" fillId="38" borderId="22" xfId="0" applyFont="1" applyFill="1" applyBorder="1" applyAlignment="1" applyProtection="1">
      <alignment horizontal="center"/>
      <protection/>
    </xf>
    <xf numFmtId="5" fontId="1" fillId="0" borderId="10" xfId="57" applyNumberFormat="1" applyFont="1" applyBorder="1" applyAlignment="1" applyProtection="1">
      <alignment horizontal="center" vertical="center"/>
      <protection/>
    </xf>
    <xf numFmtId="0" fontId="1" fillId="33" borderId="10" xfId="57" applyNumberFormat="1" applyFont="1" applyFill="1" applyBorder="1" applyAlignment="1" applyProtection="1">
      <alignment horizontal="center" vertical="center"/>
      <protection/>
    </xf>
    <xf numFmtId="5" fontId="1" fillId="36" borderId="15" xfId="57" applyNumberFormat="1" applyFont="1" applyFill="1" applyBorder="1" applyAlignment="1" applyProtection="1">
      <alignment horizontal="center"/>
      <protection/>
    </xf>
    <xf numFmtId="5" fontId="1" fillId="38" borderId="15" xfId="57" applyNumberFormat="1" applyFont="1" applyFill="1" applyBorder="1" applyAlignment="1" applyProtection="1">
      <alignment horizontal="center"/>
      <protection/>
    </xf>
    <xf numFmtId="1" fontId="1" fillId="0" borderId="10" xfId="57" applyNumberFormat="1" applyFont="1" applyBorder="1" applyAlignment="1" applyProtection="1">
      <alignment horizontal="center" vertical="center"/>
      <protection/>
    </xf>
    <xf numFmtId="1" fontId="1" fillId="0" borderId="30" xfId="57" applyNumberFormat="1" applyFont="1" applyBorder="1" applyAlignment="1" applyProtection="1">
      <alignment horizontal="center" vertical="center"/>
      <protection/>
    </xf>
    <xf numFmtId="1" fontId="1" fillId="0" borderId="15" xfId="57" applyNumberFormat="1" applyFont="1" applyBorder="1" applyAlignment="1" applyProtection="1">
      <alignment horizontal="center" vertical="center"/>
      <protection/>
    </xf>
    <xf numFmtId="5" fontId="5" fillId="0" borderId="17" xfId="57" applyNumberFormat="1" applyFont="1" applyBorder="1" applyAlignment="1" applyProtection="1">
      <alignment horizontal="left"/>
      <protection/>
    </xf>
    <xf numFmtId="5" fontId="10" fillId="0" borderId="17" xfId="57" applyNumberFormat="1" applyFont="1" applyBorder="1" applyAlignment="1" applyProtection="1">
      <alignment/>
      <protection/>
    </xf>
    <xf numFmtId="5" fontId="10" fillId="0" borderId="17" xfId="57" applyNumberFormat="1" applyFont="1" applyBorder="1" applyAlignment="1" applyProtection="1">
      <alignment vertical="top"/>
      <protection/>
    </xf>
    <xf numFmtId="0" fontId="10" fillId="0" borderId="17" xfId="57" applyNumberFormat="1" applyFont="1" applyBorder="1" applyAlignment="1" applyProtection="1">
      <alignment vertical="top"/>
      <protection/>
    </xf>
    <xf numFmtId="0" fontId="1" fillId="33" borderId="33" xfId="57"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5" fontId="1" fillId="0" borderId="11" xfId="57" applyNumberFormat="1" applyFont="1" applyBorder="1" applyAlignment="1" applyProtection="1">
      <alignment horizontal="centerContinuous" vertical="center"/>
      <protection/>
    </xf>
    <xf numFmtId="0" fontId="1" fillId="0" borderId="16" xfId="57" applyNumberFormat="1" applyFont="1" applyBorder="1" applyAlignment="1" applyProtection="1">
      <alignment horizontal="centerContinuous" vertical="center"/>
      <protection/>
    </xf>
    <xf numFmtId="0" fontId="1" fillId="0" borderId="18" xfId="57" applyNumberFormat="1" applyFont="1" applyBorder="1" applyAlignment="1" applyProtection="1">
      <alignment horizontal="centerContinuous" vertical="center"/>
      <protection/>
    </xf>
    <xf numFmtId="5" fontId="1" fillId="33" borderId="10" xfId="57" applyNumberFormat="1" applyFont="1" applyFill="1" applyBorder="1" applyAlignment="1" applyProtection="1">
      <alignment horizontal="center" vertical="center"/>
      <protection/>
    </xf>
    <xf numFmtId="0" fontId="47" fillId="0" borderId="0" xfId="0" applyFont="1" applyAlignment="1" applyProtection="1">
      <alignment/>
      <protection/>
    </xf>
    <xf numFmtId="0" fontId="0" fillId="0" borderId="0" xfId="0" applyFont="1" applyAlignment="1" applyProtection="1">
      <alignment/>
      <protection/>
    </xf>
    <xf numFmtId="5" fontId="1" fillId="36" borderId="33" xfId="57" applyNumberFormat="1" applyFont="1" applyFill="1" applyBorder="1" applyAlignment="1" applyProtection="1">
      <alignment horizontal="center" vertical="center" wrapText="1"/>
      <protection/>
    </xf>
    <xf numFmtId="5" fontId="1" fillId="38" borderId="33" xfId="57" applyNumberFormat="1" applyFont="1" applyFill="1" applyBorder="1" applyAlignment="1" applyProtection="1">
      <alignment horizontal="center" vertical="center" wrapText="1"/>
      <protection/>
    </xf>
    <xf numFmtId="1" fontId="1" fillId="0" borderId="33" xfId="57" applyNumberFormat="1" applyFont="1" applyBorder="1" applyAlignment="1" applyProtection="1">
      <alignment horizontal="center" vertical="center"/>
      <protection/>
    </xf>
    <xf numFmtId="5" fontId="1" fillId="33" borderId="33" xfId="57" applyNumberFormat="1" applyFont="1" applyFill="1" applyBorder="1" applyAlignment="1" applyProtection="1">
      <alignment horizontal="center" vertical="center" shrinkToFit="1"/>
      <protection/>
    </xf>
    <xf numFmtId="0" fontId="13" fillId="0" borderId="0" xfId="0" applyNumberFormat="1" applyFont="1" applyBorder="1" applyAlignment="1" applyProtection="1">
      <alignment horizontal="left" vertical="center"/>
      <protection locked="0"/>
    </xf>
    <xf numFmtId="0" fontId="0" fillId="0" borderId="0" xfId="57" applyNumberFormat="1" applyFont="1" applyBorder="1" applyAlignment="1" applyProtection="1">
      <alignment horizontal="left" vertical="center"/>
      <protection/>
    </xf>
    <xf numFmtId="0" fontId="0" fillId="0" borderId="0" xfId="57" applyNumberFormat="1" applyFont="1" applyAlignment="1" applyProtection="1">
      <alignment vertical="top"/>
      <protection/>
    </xf>
    <xf numFmtId="0" fontId="0" fillId="0" borderId="0" xfId="57" applyNumberFormat="1" applyFont="1" applyAlignment="1" applyProtection="1">
      <alignment horizontal="left" vertical="center"/>
      <protection/>
    </xf>
    <xf numFmtId="0" fontId="0" fillId="0" borderId="0" xfId="57" applyNumberFormat="1" applyFont="1" applyBorder="1" applyAlignment="1" applyProtection="1">
      <alignment horizontal="left" vertical="center" indent="1"/>
      <protection/>
    </xf>
    <xf numFmtId="0" fontId="0" fillId="0" borderId="0" xfId="0" applyBorder="1" applyAlignment="1" applyProtection="1">
      <alignment horizontal="left" vertical="center" indent="1"/>
      <protection/>
    </xf>
    <xf numFmtId="0" fontId="0" fillId="0" borderId="12" xfId="0" applyBorder="1" applyAlignment="1" applyProtection="1">
      <alignment horizontal="left" vertical="center" indent="1"/>
      <protection/>
    </xf>
    <xf numFmtId="5" fontId="8" fillId="0" borderId="0" xfId="57" applyNumberFormat="1" applyFont="1" applyBorder="1" applyAlignment="1" applyProtection="1">
      <alignment horizontal="left" vertical="top"/>
      <protection/>
    </xf>
    <xf numFmtId="5" fontId="8" fillId="0" borderId="0" xfId="57" applyNumberFormat="1" applyFont="1" applyBorder="1" applyAlignment="1" applyProtection="1">
      <alignment horizontal="left" vertical="center"/>
      <protection/>
    </xf>
    <xf numFmtId="0" fontId="0" fillId="0" borderId="12" xfId="57" applyNumberFormat="1" applyFont="1" applyBorder="1" applyAlignment="1" applyProtection="1">
      <alignment horizontal="left" vertical="center" indent="1"/>
      <protection/>
    </xf>
    <xf numFmtId="0" fontId="0" fillId="0" borderId="17" xfId="57" applyNumberFormat="1" applyFont="1" applyBorder="1" applyAlignment="1" applyProtection="1">
      <alignment horizontal="left" vertical="center" indent="1"/>
      <protection/>
    </xf>
    <xf numFmtId="0" fontId="39" fillId="0" borderId="0" xfId="0" applyFont="1" applyBorder="1" applyAlignment="1" applyProtection="1">
      <alignment horizontal="right" vertical="center"/>
      <protection hidden="1"/>
    </xf>
    <xf numFmtId="0" fontId="13" fillId="0" borderId="0" xfId="0" applyFont="1" applyAlignment="1" applyProtection="1">
      <alignment horizontal="centerContinuous"/>
      <protection/>
    </xf>
    <xf numFmtId="0" fontId="1" fillId="0" borderId="0" xfId="0" applyFont="1" applyAlignment="1" applyProtection="1">
      <alignment/>
      <protection/>
    </xf>
    <xf numFmtId="0" fontId="31" fillId="0" borderId="0" xfId="0" applyFont="1" applyAlignment="1" applyProtection="1">
      <alignment/>
      <protection/>
    </xf>
    <xf numFmtId="49" fontId="11" fillId="0" borderId="10" xfId="59" applyNumberFormat="1" applyFont="1" applyBorder="1" applyAlignment="1" applyProtection="1">
      <alignment horizontal="center" vertical="center" shrinkToFit="1"/>
      <protection locked="0"/>
    </xf>
    <xf numFmtId="0" fontId="5" fillId="0" borderId="10" xfId="59" applyFont="1" applyBorder="1" applyAlignment="1" applyProtection="1">
      <alignment horizontal="centerContinuous" vertical="center"/>
      <protection/>
    </xf>
    <xf numFmtId="0" fontId="8" fillId="0" borderId="13" xfId="59" applyFont="1" applyBorder="1" applyAlignment="1" applyProtection="1">
      <alignment horizontal="center" vertical="center"/>
      <protection/>
    </xf>
    <xf numFmtId="0" fontId="53" fillId="40" borderId="0" xfId="0" applyFont="1" applyFill="1" applyAlignment="1" applyProtection="1">
      <alignment/>
      <protection/>
    </xf>
    <xf numFmtId="0" fontId="40" fillId="40" borderId="0" xfId="0" applyFont="1" applyFill="1" applyAlignment="1" applyProtection="1">
      <alignment/>
      <protection/>
    </xf>
    <xf numFmtId="0" fontId="0" fillId="0" borderId="0" xfId="0" applyFont="1" applyAlignment="1" applyProtection="1">
      <alignment/>
      <protection/>
    </xf>
    <xf numFmtId="0" fontId="13" fillId="0" borderId="0" xfId="0" applyFont="1" applyAlignment="1" applyProtection="1">
      <alignment/>
      <protection locked="0"/>
    </xf>
    <xf numFmtId="1" fontId="7" fillId="0" borderId="0" xfId="57" applyNumberFormat="1" applyFont="1" applyAlignment="1" applyProtection="1">
      <alignment horizontal="center" vertical="top"/>
      <protection/>
    </xf>
    <xf numFmtId="22" fontId="0" fillId="0" borderId="0" xfId="0" applyNumberFormat="1" applyAlignment="1" applyProtection="1">
      <alignment/>
      <protection/>
    </xf>
    <xf numFmtId="22" fontId="0" fillId="0" borderId="0" xfId="59" applyNumberFormat="1" applyFont="1">
      <alignment/>
      <protection/>
    </xf>
    <xf numFmtId="22" fontId="0" fillId="0" borderId="0" xfId="59" applyNumberFormat="1" applyFont="1" applyProtection="1">
      <alignment/>
      <protection/>
    </xf>
    <xf numFmtId="0" fontId="10" fillId="0" borderId="0" xfId="0" applyFont="1" applyFill="1" applyBorder="1" applyAlignment="1" applyProtection="1">
      <alignment/>
      <protection/>
    </xf>
    <xf numFmtId="5" fontId="8" fillId="0" borderId="0" xfId="57" applyNumberFormat="1" applyFont="1" applyFill="1" applyBorder="1" applyAlignment="1" applyProtection="1">
      <alignment horizontal="left" vertical="top"/>
      <protection/>
    </xf>
    <xf numFmtId="49" fontId="0"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5" fontId="8" fillId="0" borderId="0" xfId="57" applyNumberFormat="1" applyFont="1" applyFill="1" applyBorder="1" applyAlignment="1" applyProtection="1">
      <alignment horizontal="left" vertical="center"/>
      <protection/>
    </xf>
    <xf numFmtId="2" fontId="0" fillId="39" borderId="10" xfId="57" applyNumberFormat="1" applyFont="1" applyFill="1" applyBorder="1" applyAlignment="1" applyProtection="1">
      <alignment horizontal="center" vertical="center" shrinkToFit="1"/>
      <protection hidden="1"/>
    </xf>
    <xf numFmtId="2" fontId="0" fillId="39" borderId="11" xfId="57" applyNumberFormat="1" applyFont="1" applyFill="1" applyBorder="1" applyAlignment="1" applyProtection="1">
      <alignment horizontal="center" vertical="center" shrinkToFit="1"/>
      <protection hidden="1"/>
    </xf>
    <xf numFmtId="0" fontId="54" fillId="0" borderId="0" xfId="0" applyFont="1" applyAlignment="1">
      <alignment/>
    </xf>
    <xf numFmtId="0" fontId="10" fillId="0" borderId="0" xfId="57" applyNumberFormat="1" applyFont="1" applyFill="1" applyBorder="1" applyAlignment="1" applyProtection="1">
      <alignment horizontal="center"/>
      <protection/>
    </xf>
    <xf numFmtId="0" fontId="10" fillId="0" borderId="0" xfId="57" applyNumberFormat="1" applyFont="1" applyFill="1" applyBorder="1" applyAlignment="1" applyProtection="1">
      <alignment horizontal="center" wrapText="1"/>
      <protection/>
    </xf>
    <xf numFmtId="0" fontId="10" fillId="0" borderId="11" xfId="57" applyNumberFormat="1" applyFont="1" applyFill="1" applyBorder="1" applyAlignment="1" applyProtection="1">
      <alignment vertical="center"/>
      <protection/>
    </xf>
    <xf numFmtId="0" fontId="10" fillId="0" borderId="0" xfId="57" applyNumberFormat="1" applyFont="1" applyFill="1" applyBorder="1" applyAlignment="1" applyProtection="1">
      <alignment horizontal="left" vertical="center"/>
      <protection/>
    </xf>
    <xf numFmtId="0" fontId="0" fillId="0" borderId="13" xfId="57" applyNumberFormat="1" applyFont="1" applyFill="1" applyBorder="1" applyAlignment="1" applyProtection="1">
      <alignment horizontal="left" vertical="center" indent="1"/>
      <protection/>
    </xf>
    <xf numFmtId="0" fontId="0" fillId="0" borderId="0" xfId="57" applyNumberFormat="1" applyFont="1" applyFill="1" applyBorder="1" applyAlignment="1" applyProtection="1">
      <alignment horizontal="left" vertical="center" indent="1"/>
      <protection/>
    </xf>
    <xf numFmtId="0" fontId="0" fillId="0" borderId="0" xfId="57" applyNumberFormat="1" applyFont="1" applyFill="1" applyBorder="1" applyAlignment="1" applyProtection="1">
      <alignment horizontal="left" vertical="center"/>
      <protection locked="0"/>
    </xf>
    <xf numFmtId="0" fontId="111" fillId="0" borderId="0" xfId="0" applyFont="1" applyFill="1" applyBorder="1" applyAlignment="1">
      <alignment/>
    </xf>
    <xf numFmtId="0" fontId="112" fillId="0" borderId="0" xfId="0" applyFont="1" applyFill="1" applyBorder="1" applyAlignment="1">
      <alignment horizontal="right" wrapText="1"/>
    </xf>
    <xf numFmtId="0" fontId="112" fillId="0" borderId="0" xfId="0" applyFont="1" applyFill="1" applyBorder="1" applyAlignment="1">
      <alignment horizontal="right"/>
    </xf>
    <xf numFmtId="0" fontId="113" fillId="0" borderId="0" xfId="0" applyFont="1" applyFill="1" applyBorder="1" applyAlignment="1">
      <alignment/>
    </xf>
    <xf numFmtId="0" fontId="113" fillId="0" borderId="0" xfId="0" applyFont="1" applyFill="1" applyBorder="1" applyAlignment="1">
      <alignment horizontal="center"/>
    </xf>
    <xf numFmtId="0" fontId="10" fillId="41" borderId="11" xfId="57" applyNumberFormat="1" applyFont="1" applyFill="1" applyBorder="1" applyAlignment="1" applyProtection="1">
      <alignment horizontal="center" vertical="center" wrapText="1"/>
      <protection/>
    </xf>
    <xf numFmtId="0" fontId="7" fillId="41" borderId="16" xfId="57" applyNumberFormat="1" applyFont="1" applyFill="1" applyBorder="1" applyAlignment="1" applyProtection="1">
      <alignment vertical="center"/>
      <protection/>
    </xf>
    <xf numFmtId="0" fontId="111" fillId="41" borderId="16" xfId="0" applyFont="1" applyFill="1" applyBorder="1" applyAlignment="1" applyProtection="1">
      <alignment/>
      <protection/>
    </xf>
    <xf numFmtId="0" fontId="111" fillId="41" borderId="18" xfId="0" applyFont="1" applyFill="1" applyBorder="1" applyAlignment="1" applyProtection="1">
      <alignment/>
      <protection/>
    </xf>
    <xf numFmtId="5" fontId="114" fillId="0" borderId="0" xfId="57" applyNumberFormat="1" applyFont="1" applyFill="1" applyBorder="1" applyAlignment="1" applyProtection="1">
      <alignment horizontal="center" vertical="center"/>
      <protection/>
    </xf>
    <xf numFmtId="0" fontId="111" fillId="0" borderId="0" xfId="0" applyFont="1" applyFill="1" applyBorder="1" applyAlignment="1" applyProtection="1">
      <alignment horizontal="left"/>
      <protection locked="0"/>
    </xf>
    <xf numFmtId="0" fontId="111" fillId="0" borderId="0" xfId="0" applyFont="1" applyFill="1" applyBorder="1" applyAlignment="1" applyProtection="1">
      <alignment/>
      <protection/>
    </xf>
    <xf numFmtId="0" fontId="111" fillId="41" borderId="11" xfId="0" applyFont="1" applyFill="1" applyBorder="1" applyAlignment="1" applyProtection="1">
      <alignment horizontal="left" vertical="center" wrapText="1"/>
      <protection locked="0"/>
    </xf>
    <xf numFmtId="0" fontId="111" fillId="41" borderId="16" xfId="0" applyFont="1" applyFill="1" applyBorder="1" applyAlignment="1" applyProtection="1">
      <alignment horizontal="left" vertical="center" indent="1"/>
      <protection/>
    </xf>
    <xf numFmtId="0" fontId="111" fillId="41" borderId="16" xfId="0" applyFont="1" applyFill="1" applyBorder="1" applyAlignment="1" applyProtection="1">
      <alignment/>
      <protection/>
    </xf>
    <xf numFmtId="0" fontId="111" fillId="0" borderId="0" xfId="0" applyFont="1" applyFill="1" applyBorder="1" applyAlignment="1">
      <alignment wrapText="1"/>
    </xf>
    <xf numFmtId="0" fontId="16" fillId="0" borderId="0" xfId="0" applyFont="1" applyFill="1" applyBorder="1" applyAlignment="1" applyProtection="1">
      <alignment vertical="center"/>
      <protection/>
    </xf>
    <xf numFmtId="0" fontId="16" fillId="0" borderId="0" xfId="0" applyFont="1" applyFill="1" applyBorder="1" applyAlignment="1" applyProtection="1">
      <alignment vertical="center" wrapText="1"/>
      <protection/>
    </xf>
    <xf numFmtId="0" fontId="14" fillId="0" borderId="0" xfId="0" applyFont="1" applyFill="1" applyBorder="1" applyAlignment="1" applyProtection="1">
      <alignment/>
      <protection/>
    </xf>
    <xf numFmtId="0" fontId="1" fillId="0" borderId="0" xfId="57" applyFont="1" applyFill="1" applyBorder="1" applyAlignment="1" applyProtection="1">
      <alignment vertical="center"/>
      <protection/>
    </xf>
    <xf numFmtId="22" fontId="0" fillId="0" borderId="0" xfId="57" applyNumberFormat="1" applyFont="1" applyFill="1" applyBorder="1" applyAlignment="1" applyProtection="1">
      <alignment horizontal="left" vertical="top"/>
      <protection/>
    </xf>
    <xf numFmtId="22" fontId="0" fillId="0" borderId="0" xfId="57" applyNumberFormat="1" applyFont="1" applyFill="1" applyBorder="1" applyAlignment="1" applyProtection="1">
      <alignment horizontal="right" vertical="top"/>
      <protection/>
    </xf>
    <xf numFmtId="0" fontId="111" fillId="0" borderId="0" xfId="0" applyFont="1" applyFill="1" applyBorder="1" applyAlignment="1" applyProtection="1">
      <alignment horizontal="left" vertical="center" indent="1"/>
      <protection/>
    </xf>
    <xf numFmtId="0" fontId="16" fillId="0" borderId="0" xfId="57" applyNumberFormat="1"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111" fillId="0" borderId="0" xfId="0" applyFont="1" applyFill="1" applyBorder="1" applyAlignment="1">
      <alignment horizontal="center" vertical="center" wrapText="1"/>
    </xf>
    <xf numFmtId="0" fontId="111" fillId="0" borderId="0" xfId="0" applyFont="1" applyFill="1" applyBorder="1" applyAlignment="1" applyProtection="1">
      <alignment horizontal="left" vertical="center" wrapText="1"/>
      <protection locked="0"/>
    </xf>
    <xf numFmtId="0" fontId="14" fillId="0" borderId="10" xfId="59" applyFont="1" applyBorder="1" applyAlignment="1">
      <alignment horizontal="center"/>
      <protection/>
    </xf>
    <xf numFmtId="0" fontId="10" fillId="0" borderId="0" xfId="57" applyNumberFormat="1" applyFont="1" applyAlignment="1" applyProtection="1">
      <alignment horizontal="centerContinuous"/>
      <protection/>
    </xf>
    <xf numFmtId="0" fontId="10" fillId="0" borderId="0" xfId="57" applyFont="1" applyAlignment="1" applyProtection="1">
      <alignment vertical="center"/>
      <protection/>
    </xf>
    <xf numFmtId="0" fontId="10" fillId="0" borderId="17" xfId="59" applyFont="1" applyBorder="1" applyAlignment="1" applyProtection="1">
      <alignment horizontal="center" vertical="center"/>
      <protection/>
    </xf>
    <xf numFmtId="0" fontId="10" fillId="0" borderId="17" xfId="59" applyFont="1" applyBorder="1" applyAlignment="1" applyProtection="1">
      <alignment horizontal="center" vertical="center"/>
      <protection hidden="1"/>
    </xf>
    <xf numFmtId="0" fontId="115" fillId="0" borderId="0" xfId="0" applyFont="1" applyFill="1" applyBorder="1" applyAlignment="1">
      <alignment/>
    </xf>
    <xf numFmtId="0" fontId="116" fillId="0" borderId="0" xfId="0" applyFont="1" applyFill="1" applyBorder="1" applyAlignment="1">
      <alignment horizontal="right" wrapText="1"/>
    </xf>
    <xf numFmtId="0" fontId="116" fillId="0" borderId="0" xfId="0" applyFont="1" applyFill="1" applyBorder="1" applyAlignment="1">
      <alignment/>
    </xf>
    <xf numFmtId="0" fontId="10" fillId="41" borderId="16" xfId="57" applyNumberFormat="1" applyFont="1" applyFill="1" applyBorder="1" applyAlignment="1" applyProtection="1">
      <alignment horizontal="center" vertical="center" wrapText="1"/>
      <protection/>
    </xf>
    <xf numFmtId="0" fontId="10" fillId="0" borderId="14" xfId="57" applyNumberFormat="1" applyFont="1" applyFill="1" applyBorder="1" applyAlignment="1" applyProtection="1">
      <alignment horizontal="left" vertical="center"/>
      <protection/>
    </xf>
    <xf numFmtId="0" fontId="10" fillId="0" borderId="14" xfId="57" applyNumberFormat="1" applyFont="1" applyFill="1" applyBorder="1" applyAlignment="1" applyProtection="1">
      <alignment vertical="center"/>
      <protection/>
    </xf>
    <xf numFmtId="0" fontId="0" fillId="0" borderId="14" xfId="57" applyNumberFormat="1" applyFont="1" applyFill="1" applyBorder="1" applyAlignment="1" applyProtection="1">
      <alignment horizontal="left" vertical="center" indent="1"/>
      <protection/>
    </xf>
    <xf numFmtId="0" fontId="18" fillId="0" borderId="10" xfId="57" applyNumberFormat="1" applyFont="1" applyFill="1" applyBorder="1" applyAlignment="1" applyProtection="1">
      <alignment horizontal="center" wrapText="1"/>
      <protection/>
    </xf>
    <xf numFmtId="0" fontId="10" fillId="0" borderId="10" xfId="57" applyNumberFormat="1" applyFont="1" applyFill="1" applyBorder="1" applyAlignment="1" applyProtection="1">
      <alignment horizontal="center" wrapText="1"/>
      <protection/>
    </xf>
    <xf numFmtId="0" fontId="117" fillId="0" borderId="10" xfId="0" applyFont="1" applyFill="1" applyBorder="1" applyAlignment="1">
      <alignment horizontal="center"/>
    </xf>
    <xf numFmtId="0" fontId="117" fillId="0" borderId="10" xfId="0" applyFont="1" applyFill="1" applyBorder="1" applyAlignment="1">
      <alignment horizontal="center" vertical="center"/>
    </xf>
    <xf numFmtId="0" fontId="10" fillId="0" borderId="19" xfId="57" applyNumberFormat="1" applyFont="1" applyFill="1" applyBorder="1" applyAlignment="1" applyProtection="1">
      <alignment vertical="center"/>
      <protection/>
    </xf>
    <xf numFmtId="0" fontId="10" fillId="0" borderId="0" xfId="57" applyNumberFormat="1" applyFont="1" applyFill="1" applyBorder="1" applyAlignment="1" applyProtection="1">
      <alignment vertical="center"/>
      <protection/>
    </xf>
    <xf numFmtId="0" fontId="0" fillId="0" borderId="14" xfId="0" applyBorder="1" applyAlignment="1">
      <alignment/>
    </xf>
    <xf numFmtId="0" fontId="0" fillId="0" borderId="13" xfId="0" applyBorder="1" applyAlignment="1">
      <alignment/>
    </xf>
    <xf numFmtId="0" fontId="8" fillId="0" borderId="0" xfId="0" applyFont="1" applyAlignment="1">
      <alignment/>
    </xf>
    <xf numFmtId="0" fontId="8" fillId="0" borderId="0" xfId="0" applyFont="1" applyAlignment="1">
      <alignment horizontal="left" vertical="center"/>
    </xf>
    <xf numFmtId="0" fontId="0" fillId="0" borderId="0" xfId="0" applyBorder="1" applyAlignment="1">
      <alignment/>
    </xf>
    <xf numFmtId="0" fontId="0" fillId="0" borderId="21" xfId="0" applyBorder="1" applyAlignment="1">
      <alignment/>
    </xf>
    <xf numFmtId="0" fontId="0" fillId="0" borderId="0" xfId="0" applyFont="1" applyAlignment="1">
      <alignment horizontal="center"/>
    </xf>
    <xf numFmtId="0" fontId="0" fillId="0" borderId="0" xfId="0" applyFont="1" applyFill="1" applyBorder="1" applyAlignment="1">
      <alignment horizontal="center"/>
    </xf>
    <xf numFmtId="0" fontId="0" fillId="0" borderId="14" xfId="0" applyFont="1" applyBorder="1" applyAlignment="1">
      <alignment horizontal="center"/>
    </xf>
    <xf numFmtId="0" fontId="0" fillId="0" borderId="17" xfId="0" applyFont="1" applyBorder="1" applyAlignment="1">
      <alignment horizontal="center"/>
    </xf>
    <xf numFmtId="0" fontId="0" fillId="0" borderId="18" xfId="0" applyBorder="1" applyAlignment="1">
      <alignment/>
    </xf>
    <xf numFmtId="49" fontId="0" fillId="0" borderId="19" xfId="0" applyNumberFormat="1" applyFont="1" applyBorder="1" applyAlignment="1">
      <alignment horizontal="center"/>
    </xf>
    <xf numFmtId="0" fontId="0" fillId="0" borderId="19" xfId="0" applyBorder="1" applyAlignment="1">
      <alignment/>
    </xf>
    <xf numFmtId="0" fontId="0" fillId="0" borderId="12" xfId="0" applyBorder="1" applyAlignment="1">
      <alignment/>
    </xf>
    <xf numFmtId="49" fontId="0" fillId="0" borderId="15" xfId="0" applyNumberFormat="1" applyFont="1" applyBorder="1" applyAlignment="1">
      <alignment horizontal="center" vertical="center"/>
    </xf>
    <xf numFmtId="0" fontId="57" fillId="0" borderId="0" xfId="0" applyFont="1" applyBorder="1" applyAlignment="1">
      <alignment horizontal="left" vertical="center"/>
    </xf>
    <xf numFmtId="49" fontId="0" fillId="0" borderId="15" xfId="0" applyNumberFormat="1" applyFont="1" applyBorder="1" applyAlignment="1">
      <alignment horizontal="center" vertical="center" wrapText="1"/>
    </xf>
    <xf numFmtId="49" fontId="0" fillId="0" borderId="19" xfId="0" applyNumberFormat="1" applyFont="1" applyBorder="1" applyAlignment="1">
      <alignment horizontal="center" wrapText="1"/>
    </xf>
    <xf numFmtId="0" fontId="0" fillId="0" borderId="18" xfId="0" applyBorder="1" applyAlignment="1">
      <alignment wrapText="1"/>
    </xf>
    <xf numFmtId="0" fontId="0" fillId="0" borderId="10" xfId="0" applyBorder="1" applyAlignment="1">
      <alignment wrapText="1"/>
    </xf>
    <xf numFmtId="0" fontId="0" fillId="0" borderId="0" xfId="0" applyAlignment="1">
      <alignment wrapText="1"/>
    </xf>
    <xf numFmtId="0" fontId="0" fillId="0" borderId="17" xfId="0" applyBorder="1" applyAlignment="1">
      <alignment/>
    </xf>
    <xf numFmtId="0" fontId="0" fillId="0" borderId="29" xfId="0" applyFont="1" applyBorder="1" applyAlignment="1">
      <alignment horizontal="center"/>
    </xf>
    <xf numFmtId="0" fontId="0" fillId="0" borderId="20" xfId="0" applyBorder="1" applyAlignment="1">
      <alignment/>
    </xf>
    <xf numFmtId="0" fontId="0" fillId="39" borderId="12" xfId="0" applyFill="1" applyBorder="1" applyAlignment="1">
      <alignment/>
    </xf>
    <xf numFmtId="0" fontId="0" fillId="39" borderId="11" xfId="0" applyFill="1" applyBorder="1" applyAlignment="1">
      <alignment/>
    </xf>
    <xf numFmtId="0" fontId="0" fillId="39" borderId="18" xfId="0" applyFill="1" applyBorder="1" applyAlignment="1">
      <alignment/>
    </xf>
    <xf numFmtId="0" fontId="0" fillId="39" borderId="22" xfId="0" applyFill="1" applyBorder="1" applyAlignment="1">
      <alignment/>
    </xf>
    <xf numFmtId="0" fontId="0" fillId="39" borderId="15" xfId="0" applyFill="1" applyBorder="1" applyAlignment="1">
      <alignment/>
    </xf>
    <xf numFmtId="0" fontId="0" fillId="39" borderId="30" xfId="0" applyFill="1" applyBorder="1" applyAlignment="1">
      <alignment/>
    </xf>
    <xf numFmtId="0" fontId="0" fillId="39" borderId="30" xfId="0" applyFill="1" applyBorder="1" applyAlignment="1">
      <alignment wrapText="1"/>
    </xf>
    <xf numFmtId="0" fontId="53" fillId="0" borderId="0" xfId="0" applyFont="1" applyFill="1" applyAlignment="1" applyProtection="1">
      <alignment/>
      <protection/>
    </xf>
    <xf numFmtId="0" fontId="40" fillId="0" borderId="0" xfId="0" applyFont="1" applyFill="1" applyAlignment="1" applyProtection="1">
      <alignment/>
      <protection/>
    </xf>
    <xf numFmtId="0" fontId="42" fillId="40" borderId="0" xfId="0" applyFont="1" applyFill="1" applyAlignment="1" applyProtection="1">
      <alignment/>
      <protection/>
    </xf>
    <xf numFmtId="0" fontId="0" fillId="40" borderId="0" xfId="0" applyFill="1" applyAlignment="1" applyProtection="1">
      <alignment/>
      <protection/>
    </xf>
    <xf numFmtId="0" fontId="18" fillId="0" borderId="12" xfId="59" applyFont="1" applyBorder="1" applyAlignment="1" applyProtection="1">
      <alignment vertical="center"/>
      <protection/>
    </xf>
    <xf numFmtId="0" fontId="18" fillId="0" borderId="0" xfId="59" applyFont="1" applyBorder="1" applyAlignment="1" applyProtection="1">
      <alignment horizontal="left" vertical="center"/>
      <protection/>
    </xf>
    <xf numFmtId="0" fontId="0" fillId="0" borderId="0" xfId="59" applyFont="1">
      <alignment/>
      <protection/>
    </xf>
    <xf numFmtId="0" fontId="111" fillId="0" borderId="18" xfId="0" applyFont="1" applyFill="1" applyBorder="1" applyAlignment="1" applyProtection="1">
      <alignment horizontal="center" vertical="center" wrapText="1"/>
      <protection locked="0"/>
    </xf>
    <xf numFmtId="0" fontId="111" fillId="0" borderId="10" xfId="0" applyFont="1" applyFill="1" applyBorder="1" applyAlignment="1" applyProtection="1">
      <alignment horizontal="center" vertical="center" wrapText="1"/>
      <protection locked="0"/>
    </xf>
    <xf numFmtId="0" fontId="118" fillId="0" borderId="10" xfId="0" applyFont="1" applyFill="1" applyBorder="1" applyAlignment="1" applyProtection="1">
      <alignment vertical="center" wrapText="1"/>
      <protection locked="0"/>
    </xf>
    <xf numFmtId="0" fontId="111" fillId="0" borderId="10" xfId="0" applyFont="1" applyFill="1" applyBorder="1" applyAlignment="1" applyProtection="1">
      <alignment/>
      <protection locked="0"/>
    </xf>
    <xf numFmtId="0" fontId="111" fillId="0" borderId="0" xfId="0" applyFont="1" applyFill="1" applyBorder="1" applyAlignment="1" applyProtection="1">
      <alignment horizontal="center" vertical="center" wrapText="1"/>
      <protection locked="0"/>
    </xf>
    <xf numFmtId="0" fontId="119" fillId="0" borderId="10" xfId="0" applyFont="1" applyBorder="1" applyAlignment="1" applyProtection="1">
      <alignment vertical="center" wrapText="1"/>
      <protection locked="0"/>
    </xf>
    <xf numFmtId="0" fontId="111" fillId="0" borderId="0" xfId="0" applyFont="1" applyFill="1" applyBorder="1" applyAlignment="1" applyProtection="1">
      <alignment wrapText="1"/>
      <protection locked="0"/>
    </xf>
    <xf numFmtId="0" fontId="111" fillId="0" borderId="10" xfId="0" applyFont="1" applyFill="1" applyBorder="1" applyAlignment="1" applyProtection="1">
      <alignment horizontal="center" vertical="center"/>
      <protection locked="0"/>
    </xf>
    <xf numFmtId="49" fontId="120" fillId="0" borderId="10" xfId="0" applyNumberFormat="1" applyFont="1" applyFill="1" applyBorder="1" applyAlignment="1" applyProtection="1">
      <alignment vertical="center" wrapText="1"/>
      <protection locked="0"/>
    </xf>
    <xf numFmtId="0" fontId="1" fillId="0" borderId="0" xfId="0" applyFont="1" applyAlignment="1">
      <alignment horizontal="center"/>
    </xf>
    <xf numFmtId="0" fontId="1" fillId="0" borderId="0" xfId="0" applyFont="1" applyAlignment="1">
      <alignment/>
    </xf>
    <xf numFmtId="0" fontId="121" fillId="0" borderId="0" xfId="0" applyFont="1" applyFill="1" applyBorder="1" applyAlignment="1" applyProtection="1">
      <alignment vertical="center"/>
      <protection/>
    </xf>
    <xf numFmtId="0" fontId="121" fillId="0" borderId="0" xfId="0" applyFont="1" applyFill="1" applyBorder="1" applyAlignment="1">
      <alignment/>
    </xf>
    <xf numFmtId="0" fontId="18" fillId="0" borderId="0" xfId="0" applyFont="1" applyFill="1" applyBorder="1" applyAlignment="1" applyProtection="1">
      <alignment vertical="center"/>
      <protection/>
    </xf>
    <xf numFmtId="0" fontId="18" fillId="0" borderId="0" xfId="0" applyFont="1" applyAlignment="1" applyProtection="1">
      <alignment/>
      <protection hidden="1"/>
    </xf>
    <xf numFmtId="0" fontId="18" fillId="0" borderId="0" xfId="0" applyFont="1" applyAlignment="1" applyProtection="1">
      <alignment vertical="center"/>
      <protection/>
    </xf>
    <xf numFmtId="0" fontId="18" fillId="0" borderId="0" xfId="0" applyFont="1" applyAlignment="1" applyProtection="1">
      <alignment/>
      <protection/>
    </xf>
    <xf numFmtId="0" fontId="1" fillId="0" borderId="0" xfId="0" applyFont="1" applyAlignment="1" applyProtection="1">
      <alignment horizontal="right"/>
      <protection/>
    </xf>
    <xf numFmtId="0" fontId="1" fillId="0" borderId="0" xfId="0" applyFont="1" applyAlignment="1" applyProtection="1">
      <alignment horizontal="right"/>
      <protection hidden="1"/>
    </xf>
    <xf numFmtId="0" fontId="1" fillId="0" borderId="0" xfId="57" applyNumberFormat="1" applyFont="1" applyFill="1" applyBorder="1" applyAlignment="1" applyProtection="1">
      <alignment horizontal="right" vertical="top"/>
      <protection/>
    </xf>
    <xf numFmtId="0" fontId="7" fillId="0" borderId="0" xfId="0" applyFont="1" applyFill="1" applyBorder="1" applyAlignment="1" applyProtection="1">
      <alignment/>
      <protection/>
    </xf>
    <xf numFmtId="0" fontId="112" fillId="0" borderId="0" xfId="0" applyFont="1" applyFill="1" applyBorder="1" applyAlignment="1" applyProtection="1">
      <alignment horizontal="right" wrapText="1"/>
      <protection locked="0"/>
    </xf>
    <xf numFmtId="0" fontId="0" fillId="39" borderId="12" xfId="0" applyFill="1" applyBorder="1" applyAlignment="1">
      <alignment/>
    </xf>
    <xf numFmtId="0" fontId="122" fillId="41" borderId="10" xfId="0" applyFont="1" applyFill="1" applyBorder="1" applyAlignment="1" applyProtection="1">
      <alignment/>
      <protection/>
    </xf>
    <xf numFmtId="0" fontId="10" fillId="41" borderId="16" xfId="57" applyNumberFormat="1" applyFont="1" applyFill="1" applyBorder="1" applyAlignment="1" applyProtection="1">
      <alignment vertical="center"/>
      <protection/>
    </xf>
    <xf numFmtId="0" fontId="10" fillId="41" borderId="10" xfId="57" applyNumberFormat="1" applyFont="1" applyFill="1" applyBorder="1" applyAlignment="1" applyProtection="1">
      <alignment vertical="center"/>
      <protection/>
    </xf>
    <xf numFmtId="2" fontId="0" fillId="0" borderId="0" xfId="57" applyNumberFormat="1" applyFont="1" applyFill="1" applyBorder="1" applyAlignment="1" applyProtection="1">
      <alignment horizontal="center" vertical="center" shrinkToFit="1"/>
      <protection hidden="1"/>
    </xf>
    <xf numFmtId="0" fontId="115" fillId="30" borderId="16" xfId="0" applyFont="1" applyFill="1" applyBorder="1" applyAlignment="1">
      <alignment/>
    </xf>
    <xf numFmtId="0" fontId="115" fillId="30" borderId="16" xfId="0" applyFont="1" applyFill="1" applyBorder="1" applyAlignment="1">
      <alignment wrapText="1"/>
    </xf>
    <xf numFmtId="0" fontId="123" fillId="30" borderId="18" xfId="0" applyFont="1" applyFill="1" applyBorder="1" applyAlignment="1">
      <alignment horizontal="center"/>
    </xf>
    <xf numFmtId="0" fontId="0" fillId="39" borderId="21" xfId="0" applyFill="1" applyBorder="1" applyAlignment="1">
      <alignment/>
    </xf>
    <xf numFmtId="0" fontId="0" fillId="39" borderId="19" xfId="0" applyFill="1" applyBorder="1" applyAlignment="1">
      <alignment/>
    </xf>
    <xf numFmtId="0" fontId="0" fillId="39" borderId="0" xfId="0" applyFill="1" applyBorder="1" applyAlignment="1">
      <alignment/>
    </xf>
    <xf numFmtId="0" fontId="0" fillId="39" borderId="13" xfId="0" applyFill="1" applyBorder="1" applyAlignment="1">
      <alignment/>
    </xf>
    <xf numFmtId="0" fontId="0" fillId="39" borderId="17" xfId="0" applyFill="1" applyBorder="1" applyAlignment="1">
      <alignment/>
    </xf>
    <xf numFmtId="0" fontId="0" fillId="0" borderId="10" xfId="0" applyFill="1" applyBorder="1" applyAlignment="1">
      <alignment/>
    </xf>
    <xf numFmtId="0" fontId="0" fillId="0" borderId="10" xfId="0" applyFill="1" applyBorder="1" applyAlignment="1">
      <alignment wrapText="1"/>
    </xf>
    <xf numFmtId="5" fontId="8" fillId="40" borderId="10" xfId="57" applyNumberFormat="1" applyFont="1" applyFill="1" applyBorder="1" applyAlignment="1" applyProtection="1">
      <alignment horizontal="right" vertical="center"/>
      <protection locked="0"/>
    </xf>
    <xf numFmtId="5" fontId="8" fillId="40" borderId="10" xfId="57" applyNumberFormat="1" applyFont="1" applyFill="1" applyBorder="1" applyAlignment="1" applyProtection="1">
      <alignment horizontal="right" vertical="center"/>
      <protection/>
    </xf>
    <xf numFmtId="5" fontId="8" fillId="40" borderId="22" xfId="57" applyNumberFormat="1" applyFont="1" applyFill="1" applyBorder="1" applyAlignment="1" applyProtection="1">
      <alignment horizontal="right" vertical="center" shrinkToFit="1"/>
      <protection hidden="1"/>
    </xf>
    <xf numFmtId="0" fontId="0" fillId="0" borderId="10" xfId="0" applyFill="1" applyBorder="1" applyAlignment="1" applyProtection="1">
      <alignment/>
      <protection/>
    </xf>
    <xf numFmtId="1" fontId="1" fillId="0" borderId="11" xfId="57" applyNumberFormat="1" applyFont="1" applyBorder="1" applyAlignment="1" applyProtection="1">
      <alignment horizontal="center" vertical="center"/>
      <protection/>
    </xf>
    <xf numFmtId="2" fontId="0" fillId="0" borderId="10" xfId="0" applyNumberFormat="1" applyFill="1" applyBorder="1" applyAlignment="1" applyProtection="1">
      <alignment/>
      <protection/>
    </xf>
    <xf numFmtId="0" fontId="0" fillId="39" borderId="18" xfId="0" applyFill="1" applyBorder="1" applyAlignment="1" applyProtection="1">
      <alignment/>
      <protection/>
    </xf>
    <xf numFmtId="0" fontId="0" fillId="0" borderId="0" xfId="0" applyFont="1" applyAlignment="1" applyProtection="1">
      <alignment horizontal="center"/>
      <protection/>
    </xf>
    <xf numFmtId="0" fontId="1" fillId="0" borderId="0" xfId="57" applyNumberFormat="1" applyFont="1" applyFill="1" applyBorder="1" applyAlignment="1" applyProtection="1">
      <alignment horizontal="center" vertical="center" wrapText="1"/>
      <protection/>
    </xf>
    <xf numFmtId="2" fontId="0" fillId="0" borderId="0" xfId="57" applyNumberFormat="1" applyFont="1" applyFill="1" applyBorder="1" applyAlignment="1" applyProtection="1">
      <alignment horizontal="center" vertical="center"/>
      <protection hidden="1"/>
    </xf>
    <xf numFmtId="2" fontId="0" fillId="39" borderId="18" xfId="0" applyNumberFormat="1" applyFill="1" applyBorder="1" applyAlignment="1" applyProtection="1">
      <alignment horizontal="center"/>
      <protection/>
    </xf>
    <xf numFmtId="43" fontId="0" fillId="39" borderId="18" xfId="42" applyFont="1" applyFill="1" applyBorder="1" applyAlignment="1" applyProtection="1">
      <alignment horizontal="center"/>
      <protection/>
    </xf>
    <xf numFmtId="0" fontId="14" fillId="0" borderId="10" xfId="59" applyFont="1" applyBorder="1" applyAlignment="1">
      <alignment wrapText="1"/>
      <protection/>
    </xf>
    <xf numFmtId="0" fontId="124" fillId="30" borderId="16" xfId="0" applyFont="1" applyFill="1" applyBorder="1" applyAlignment="1">
      <alignment/>
    </xf>
    <xf numFmtId="43" fontId="0" fillId="39" borderId="18" xfId="42" applyFont="1" applyFill="1" applyBorder="1" applyAlignment="1" applyProtection="1">
      <alignment/>
      <protection/>
    </xf>
    <xf numFmtId="2" fontId="0" fillId="0" borderId="14" xfId="57" applyNumberFormat="1" applyFont="1" applyBorder="1" applyAlignment="1" applyProtection="1">
      <alignment horizontal="center" vertical="center" wrapText="1"/>
      <protection hidden="1"/>
    </xf>
    <xf numFmtId="2" fontId="0" fillId="0" borderId="0" xfId="57" applyNumberFormat="1" applyFont="1" applyBorder="1" applyAlignment="1" applyProtection="1">
      <alignment horizontal="center" vertical="center" wrapText="1"/>
      <protection hidden="1"/>
    </xf>
    <xf numFmtId="22" fontId="0" fillId="0" borderId="0" xfId="0" applyNumberFormat="1" applyAlignment="1" applyProtection="1">
      <alignment horizontal="center"/>
      <protection/>
    </xf>
    <xf numFmtId="22" fontId="0" fillId="0" borderId="37" xfId="0" applyNumberFormat="1" applyBorder="1" applyAlignment="1" applyProtection="1">
      <alignment horizontal="center"/>
      <protection/>
    </xf>
    <xf numFmtId="0" fontId="7" fillId="0" borderId="12" xfId="0" applyFont="1" applyBorder="1" applyAlignment="1" applyProtection="1">
      <alignment horizontal="center" shrinkToFit="1"/>
      <protection locked="0"/>
    </xf>
    <xf numFmtId="0" fontId="30" fillId="0" borderId="12" xfId="0" applyFont="1" applyBorder="1" applyAlignment="1" applyProtection="1">
      <alignment horizontal="center" shrinkToFit="1"/>
      <protection hidden="1" locked="0"/>
    </xf>
    <xf numFmtId="0" fontId="8" fillId="0" borderId="12" xfId="0" applyFont="1" applyBorder="1" applyAlignment="1" applyProtection="1">
      <alignment horizontal="center" shrinkToFit="1"/>
      <protection locked="0"/>
    </xf>
    <xf numFmtId="0" fontId="7" fillId="0" borderId="12" xfId="0" applyFont="1" applyBorder="1" applyAlignment="1" applyProtection="1">
      <alignment horizontal="left" shrinkToFit="1"/>
      <protection locked="0"/>
    </xf>
    <xf numFmtId="0" fontId="6" fillId="0" borderId="0" xfId="0" applyFont="1" applyBorder="1" applyAlignment="1" applyProtection="1">
      <alignment horizontal="center"/>
      <protection hidden="1"/>
    </xf>
    <xf numFmtId="0" fontId="6" fillId="0" borderId="12" xfId="0" applyFont="1" applyBorder="1" applyAlignment="1" applyProtection="1">
      <alignment horizontal="center"/>
      <protection hidden="1"/>
    </xf>
    <xf numFmtId="185" fontId="8" fillId="0" borderId="12" xfId="0" applyNumberFormat="1" applyFont="1" applyBorder="1" applyAlignment="1" applyProtection="1">
      <alignment horizontal="center"/>
      <protection locked="0"/>
    </xf>
    <xf numFmtId="0" fontId="7" fillId="0" borderId="12"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43" fillId="0" borderId="40" xfId="0" applyFont="1" applyBorder="1" applyAlignment="1" applyProtection="1">
      <alignment horizontal="center" wrapText="1"/>
      <protection/>
    </xf>
    <xf numFmtId="0" fontId="0" fillId="0" borderId="0" xfId="0" applyAlignment="1" applyProtection="1">
      <alignment horizontal="center" wrapText="1"/>
      <protection/>
    </xf>
    <xf numFmtId="0" fontId="0" fillId="0" borderId="40" xfId="0" applyBorder="1" applyAlignment="1" applyProtection="1">
      <alignment horizontal="center" wrapText="1"/>
      <protection/>
    </xf>
    <xf numFmtId="0" fontId="43" fillId="0" borderId="0" xfId="0" applyFont="1" applyBorder="1" applyAlignment="1" applyProtection="1">
      <alignment horizontal="center" wrapText="1"/>
      <protection/>
    </xf>
    <xf numFmtId="184" fontId="8" fillId="0" borderId="12" xfId="0" applyNumberFormat="1" applyFont="1" applyBorder="1" applyAlignment="1" applyProtection="1">
      <alignment horizontal="center"/>
      <protection locked="0"/>
    </xf>
    <xf numFmtId="0" fontId="11" fillId="0" borderId="0" xfId="0" applyFont="1" applyBorder="1" applyAlignment="1" applyProtection="1">
      <alignment horizontal="center" shrinkToFit="1"/>
      <protection hidden="1" locked="0"/>
    </xf>
    <xf numFmtId="0" fontId="11" fillId="0" borderId="0" xfId="0" applyFont="1" applyBorder="1" applyAlignment="1" applyProtection="1">
      <alignment horizontal="center" shrinkToFit="1"/>
      <protection hidden="1" locked="0"/>
    </xf>
    <xf numFmtId="0" fontId="11" fillId="0" borderId="14" xfId="0" applyFont="1" applyBorder="1" applyAlignment="1" applyProtection="1">
      <alignment horizontal="center" shrinkToFit="1"/>
      <protection hidden="1" locked="0"/>
    </xf>
    <xf numFmtId="0" fontId="16" fillId="0" borderId="13" xfId="0" applyFont="1" applyBorder="1" applyAlignment="1" applyProtection="1">
      <alignment horizontal="center" shrinkToFit="1"/>
      <protection locked="0"/>
    </xf>
    <xf numFmtId="0" fontId="16" fillId="0" borderId="0" xfId="0" applyFont="1" applyBorder="1" applyAlignment="1" applyProtection="1">
      <alignment horizontal="center" shrinkToFit="1"/>
      <protection locked="0"/>
    </xf>
    <xf numFmtId="0" fontId="11" fillId="0" borderId="0" xfId="0" applyFont="1" applyBorder="1" applyAlignment="1" applyProtection="1">
      <alignment horizontal="center"/>
      <protection hidden="1" locked="0"/>
    </xf>
    <xf numFmtId="0" fontId="11" fillId="0" borderId="0" xfId="0" applyFont="1" applyBorder="1" applyAlignment="1" applyProtection="1">
      <alignment horizontal="center"/>
      <protection hidden="1" locked="0"/>
    </xf>
    <xf numFmtId="0" fontId="11" fillId="0" borderId="14" xfId="0" applyFont="1" applyBorder="1" applyAlignment="1" applyProtection="1">
      <alignment horizontal="center"/>
      <protection hidden="1" locked="0"/>
    </xf>
    <xf numFmtId="0" fontId="11" fillId="0" borderId="12" xfId="0" applyFont="1" applyBorder="1" applyAlignment="1" applyProtection="1">
      <alignment horizontal="center"/>
      <protection hidden="1" locked="0"/>
    </xf>
    <xf numFmtId="0" fontId="11" fillId="0" borderId="20" xfId="0" applyFont="1" applyBorder="1" applyAlignment="1" applyProtection="1">
      <alignment horizontal="center"/>
      <protection hidden="1" locked="0"/>
    </xf>
    <xf numFmtId="0" fontId="11" fillId="0" borderId="0" xfId="0" applyFont="1" applyBorder="1" applyAlignment="1" applyProtection="1">
      <alignment horizontal="center" vertical="center" shrinkToFit="1"/>
      <protection hidden="1" locked="0"/>
    </xf>
    <xf numFmtId="0" fontId="11" fillId="0" borderId="0" xfId="0" applyFont="1" applyBorder="1" applyAlignment="1" applyProtection="1">
      <alignment horizontal="center" vertical="center" shrinkToFit="1"/>
      <protection hidden="1" locked="0"/>
    </xf>
    <xf numFmtId="0" fontId="11" fillId="0" borderId="12" xfId="0" applyFont="1" applyBorder="1" applyAlignment="1" applyProtection="1">
      <alignment horizontal="center" vertical="center" shrinkToFit="1"/>
      <protection hidden="1" locked="0"/>
    </xf>
    <xf numFmtId="22" fontId="7" fillId="0" borderId="0" xfId="57" applyNumberFormat="1" applyFont="1" applyAlignment="1" applyProtection="1">
      <alignment horizontal="center" vertical="top"/>
      <protection/>
    </xf>
    <xf numFmtId="0" fontId="7" fillId="0" borderId="13" xfId="57" applyNumberFormat="1" applyFont="1" applyBorder="1" applyAlignment="1" applyProtection="1">
      <alignment horizontal="left" vertical="top" wrapText="1"/>
      <protection locked="0"/>
    </xf>
    <xf numFmtId="0" fontId="7" fillId="0" borderId="0" xfId="57" applyNumberFormat="1" applyFont="1" applyBorder="1" applyAlignment="1" applyProtection="1">
      <alignment horizontal="left" vertical="top" wrapText="1"/>
      <protection locked="0"/>
    </xf>
    <xf numFmtId="0" fontId="7" fillId="0" borderId="14" xfId="57" applyNumberFormat="1" applyFont="1" applyBorder="1" applyAlignment="1" applyProtection="1">
      <alignment horizontal="left" vertical="top" wrapText="1"/>
      <protection locked="0"/>
    </xf>
    <xf numFmtId="0" fontId="7" fillId="0" borderId="19" xfId="57" applyNumberFormat="1" applyFont="1" applyBorder="1" applyAlignment="1" applyProtection="1">
      <alignment horizontal="left" vertical="top" wrapText="1"/>
      <protection locked="0"/>
    </xf>
    <xf numFmtId="0" fontId="7" fillId="0" borderId="12" xfId="57" applyNumberFormat="1" applyFont="1" applyBorder="1" applyAlignment="1" applyProtection="1">
      <alignment horizontal="left" vertical="top" wrapText="1"/>
      <protection locked="0"/>
    </xf>
    <xf numFmtId="0" fontId="7" fillId="0" borderId="20" xfId="57" applyNumberFormat="1" applyFont="1" applyBorder="1" applyAlignment="1" applyProtection="1">
      <alignment horizontal="left" vertical="top" wrapText="1"/>
      <protection locked="0"/>
    </xf>
    <xf numFmtId="0" fontId="6" fillId="0" borderId="12" xfId="0" applyFont="1" applyBorder="1" applyAlignment="1" applyProtection="1">
      <alignment horizontal="center" shrinkToFit="1"/>
      <protection/>
    </xf>
    <xf numFmtId="49" fontId="6" fillId="0" borderId="12" xfId="57" applyNumberFormat="1" applyFont="1" applyBorder="1" applyAlignment="1" applyProtection="1">
      <alignment horizontal="center" shrinkToFit="1"/>
      <protection/>
    </xf>
    <xf numFmtId="0" fontId="8" fillId="0" borderId="17" xfId="0" applyFont="1" applyBorder="1" applyAlignment="1" applyProtection="1">
      <alignment horizontal="center" vertical="center"/>
      <protection/>
    </xf>
    <xf numFmtId="0" fontId="5" fillId="0" borderId="11" xfId="57" applyNumberFormat="1" applyFont="1" applyBorder="1" applyAlignment="1" applyProtection="1">
      <alignment horizontal="center" vertical="center"/>
      <protection/>
    </xf>
    <xf numFmtId="0" fontId="5" fillId="0" borderId="16" xfId="57" applyNumberFormat="1" applyFont="1" applyBorder="1" applyAlignment="1" applyProtection="1">
      <alignment horizontal="center" vertical="center"/>
      <protection/>
    </xf>
    <xf numFmtId="0" fontId="5" fillId="0" borderId="18" xfId="57" applyNumberFormat="1" applyFont="1" applyBorder="1" applyAlignment="1" applyProtection="1">
      <alignment horizontal="center" vertical="center"/>
      <protection/>
    </xf>
    <xf numFmtId="0" fontId="32" fillId="33" borderId="11" xfId="57" applyNumberFormat="1" applyFont="1" applyFill="1" applyBorder="1" applyAlignment="1" applyProtection="1">
      <alignment horizontal="center" vertical="center"/>
      <protection/>
    </xf>
    <xf numFmtId="0" fontId="32" fillId="33" borderId="16" xfId="57" applyNumberFormat="1" applyFont="1" applyFill="1" applyBorder="1" applyAlignment="1" applyProtection="1">
      <alignment horizontal="center" vertical="center"/>
      <protection/>
    </xf>
    <xf numFmtId="0" fontId="32" fillId="33" borderId="18" xfId="57" applyNumberFormat="1" applyFont="1" applyFill="1" applyBorder="1" applyAlignment="1" applyProtection="1">
      <alignment horizontal="center" vertical="center"/>
      <protection/>
    </xf>
    <xf numFmtId="0" fontId="32" fillId="0" borderId="12" xfId="57" applyFont="1" applyBorder="1" applyAlignment="1" applyProtection="1">
      <alignment horizontal="center"/>
      <protection/>
    </xf>
    <xf numFmtId="22" fontId="0" fillId="0" borderId="17" xfId="57" applyNumberFormat="1" applyFont="1" applyBorder="1" applyAlignment="1" applyProtection="1">
      <alignment horizontal="center" vertical="top"/>
      <protection/>
    </xf>
    <xf numFmtId="5" fontId="0" fillId="0" borderId="17" xfId="57" applyNumberFormat="1" applyFont="1" applyBorder="1" applyAlignment="1" applyProtection="1">
      <alignment horizontal="center" vertical="top"/>
      <protection/>
    </xf>
    <xf numFmtId="0" fontId="8" fillId="0" borderId="22"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5" fontId="17" fillId="0" borderId="22" xfId="57" applyNumberFormat="1" applyFont="1" applyFill="1" applyBorder="1" applyAlignment="1" applyProtection="1">
      <alignment horizontal="center" vertical="top"/>
      <protection/>
    </xf>
    <xf numFmtId="5" fontId="17" fillId="0" borderId="15" xfId="57" applyNumberFormat="1" applyFont="1" applyFill="1" applyBorder="1" applyAlignment="1" applyProtection="1">
      <alignment horizontal="center" vertical="top"/>
      <protection/>
    </xf>
    <xf numFmtId="5" fontId="15" fillId="36" borderId="69" xfId="57" applyNumberFormat="1" applyFont="1" applyFill="1" applyBorder="1" applyAlignment="1" applyProtection="1">
      <alignment horizontal="center" vertical="center" wrapText="1"/>
      <protection/>
    </xf>
    <xf numFmtId="0" fontId="14" fillId="36" borderId="70" xfId="0" applyFont="1" applyFill="1" applyBorder="1" applyAlignment="1" applyProtection="1">
      <alignment horizontal="center" vertical="center" wrapText="1"/>
      <protection/>
    </xf>
    <xf numFmtId="5" fontId="1" fillId="37" borderId="13" xfId="57" applyNumberFormat="1" applyFont="1" applyFill="1" applyBorder="1" applyAlignment="1" applyProtection="1">
      <alignment horizontal="center" vertical="center" wrapText="1"/>
      <protection/>
    </xf>
    <xf numFmtId="0" fontId="0" fillId="37" borderId="19" xfId="0" applyFill="1" applyBorder="1" applyAlignment="1" applyProtection="1">
      <alignment horizontal="center" vertical="center" wrapText="1"/>
      <protection/>
    </xf>
    <xf numFmtId="5" fontId="1" fillId="0" borderId="71" xfId="57" applyNumberFormat="1" applyFont="1" applyBorder="1" applyAlignment="1" applyProtection="1">
      <alignment horizontal="center" vertical="center"/>
      <protection/>
    </xf>
    <xf numFmtId="5" fontId="1" fillId="0" borderId="16" xfId="57" applyNumberFormat="1" applyFont="1" applyBorder="1" applyAlignment="1" applyProtection="1">
      <alignment horizontal="center" vertical="center"/>
      <protection/>
    </xf>
    <xf numFmtId="5" fontId="1" fillId="0" borderId="18" xfId="57" applyNumberFormat="1"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187" fontId="10" fillId="0" borderId="11" xfId="57" applyNumberFormat="1" applyFont="1" applyFill="1" applyBorder="1" applyAlignment="1" applyProtection="1">
      <alignment horizontal="center"/>
      <protection locked="0"/>
    </xf>
    <xf numFmtId="187" fontId="10" fillId="0" borderId="18" xfId="57" applyNumberFormat="1" applyFont="1" applyFill="1" applyBorder="1" applyAlignment="1" applyProtection="1">
      <alignment horizontal="center"/>
      <protection locked="0"/>
    </xf>
    <xf numFmtId="0" fontId="8" fillId="0" borderId="22"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15" fillId="33" borderId="11" xfId="57" applyNumberFormat="1" applyFont="1" applyFill="1" applyBorder="1" applyAlignment="1" applyProtection="1">
      <alignment horizontal="center" vertical="center"/>
      <protection/>
    </xf>
    <xf numFmtId="0" fontId="15" fillId="33" borderId="16" xfId="57" applyNumberFormat="1" applyFont="1" applyFill="1" applyBorder="1" applyAlignment="1" applyProtection="1">
      <alignment horizontal="center" vertical="center"/>
      <protection/>
    </xf>
    <xf numFmtId="0" fontId="15" fillId="33" borderId="18" xfId="57" applyNumberFormat="1" applyFont="1" applyFill="1" applyBorder="1" applyAlignment="1" applyProtection="1">
      <alignment horizontal="center" vertical="center"/>
      <protection/>
    </xf>
    <xf numFmtId="0" fontId="18" fillId="36" borderId="61" xfId="0" applyFont="1" applyFill="1" applyBorder="1" applyAlignment="1" applyProtection="1">
      <alignment horizontal="center" vertical="center"/>
      <protection/>
    </xf>
    <xf numFmtId="0" fontId="18" fillId="36" borderId="62" xfId="0" applyFont="1" applyFill="1" applyBorder="1" applyAlignment="1" applyProtection="1">
      <alignment horizontal="center" vertical="center"/>
      <protection/>
    </xf>
    <xf numFmtId="0" fontId="7" fillId="0" borderId="72" xfId="57" applyNumberFormat="1" applyFont="1" applyBorder="1" applyAlignment="1" applyProtection="1">
      <alignment horizontal="center" vertical="center"/>
      <protection/>
    </xf>
    <xf numFmtId="5" fontId="18" fillId="33" borderId="61" xfId="57" applyNumberFormat="1" applyFont="1" applyFill="1" applyBorder="1" applyAlignment="1" applyProtection="1">
      <alignment horizontal="center" vertical="center"/>
      <protection/>
    </xf>
    <xf numFmtId="5" fontId="18" fillId="33" borderId="62" xfId="57" applyNumberFormat="1" applyFont="1" applyFill="1" applyBorder="1" applyAlignment="1" applyProtection="1">
      <alignment horizontal="center" vertical="center"/>
      <protection/>
    </xf>
    <xf numFmtId="5" fontId="18" fillId="33" borderId="73" xfId="57" applyNumberFormat="1" applyFont="1" applyFill="1" applyBorder="1" applyAlignment="1" applyProtection="1">
      <alignment horizontal="center" vertical="center"/>
      <protection/>
    </xf>
    <xf numFmtId="5" fontId="5" fillId="0" borderId="74" xfId="57" applyNumberFormat="1" applyFont="1" applyBorder="1" applyAlignment="1" applyProtection="1">
      <alignment horizontal="center" vertical="center"/>
      <protection/>
    </xf>
    <xf numFmtId="5" fontId="5" fillId="0" borderId="75" xfId="57" applyNumberFormat="1" applyFont="1" applyBorder="1" applyAlignment="1" applyProtection="1">
      <alignment horizontal="center" vertical="center"/>
      <protection/>
    </xf>
    <xf numFmtId="0" fontId="10" fillId="0" borderId="11" xfId="57" applyNumberFormat="1" applyFont="1" applyFill="1" applyBorder="1" applyAlignment="1" applyProtection="1">
      <alignment horizontal="center"/>
      <protection/>
    </xf>
    <xf numFmtId="0" fontId="10" fillId="0" borderId="16" xfId="57" applyNumberFormat="1" applyFont="1" applyFill="1" applyBorder="1" applyAlignment="1" applyProtection="1">
      <alignment horizontal="center"/>
      <protection/>
    </xf>
    <xf numFmtId="0" fontId="10" fillId="0" borderId="18" xfId="57" applyNumberFormat="1" applyFont="1" applyFill="1" applyBorder="1" applyAlignment="1" applyProtection="1">
      <alignment horizontal="center"/>
      <protection/>
    </xf>
    <xf numFmtId="5" fontId="10" fillId="0" borderId="76" xfId="57" applyNumberFormat="1" applyFont="1" applyBorder="1" applyAlignment="1" applyProtection="1">
      <alignment horizontal="center" vertical="center" wrapText="1"/>
      <protection/>
    </xf>
    <xf numFmtId="5" fontId="10" fillId="0" borderId="0" xfId="57" applyNumberFormat="1" applyFont="1" applyBorder="1" applyAlignment="1" applyProtection="1">
      <alignment horizontal="center" vertical="center" wrapText="1"/>
      <protection/>
    </xf>
    <xf numFmtId="5" fontId="10" fillId="0" borderId="14" xfId="57" applyNumberFormat="1" applyFont="1" applyBorder="1" applyAlignment="1" applyProtection="1">
      <alignment horizontal="center" vertical="center" wrapText="1"/>
      <protection/>
    </xf>
    <xf numFmtId="5" fontId="10" fillId="0" borderId="77" xfId="57" applyNumberFormat="1" applyFont="1" applyBorder="1" applyAlignment="1" applyProtection="1">
      <alignment horizontal="center" vertical="center" wrapText="1"/>
      <protection/>
    </xf>
    <xf numFmtId="5" fontId="10" fillId="0" borderId="12" xfId="57" applyNumberFormat="1" applyFont="1" applyBorder="1" applyAlignment="1" applyProtection="1">
      <alignment horizontal="center" vertical="center" wrapText="1"/>
      <protection/>
    </xf>
    <xf numFmtId="5" fontId="10" fillId="0" borderId="20" xfId="57" applyNumberFormat="1" applyFont="1" applyBorder="1" applyAlignment="1" applyProtection="1">
      <alignment horizontal="center" vertical="center" wrapText="1"/>
      <protection/>
    </xf>
    <xf numFmtId="5" fontId="1" fillId="0" borderId="78" xfId="57" applyNumberFormat="1" applyFont="1" applyBorder="1" applyAlignment="1" applyProtection="1">
      <alignment horizontal="center" vertical="center" wrapText="1"/>
      <protection/>
    </xf>
    <xf numFmtId="5" fontId="1" fillId="0" borderId="79" xfId="57" applyNumberFormat="1" applyFont="1" applyBorder="1" applyAlignment="1" applyProtection="1">
      <alignment horizontal="center" vertical="center" wrapText="1"/>
      <protection/>
    </xf>
    <xf numFmtId="5" fontId="1" fillId="0" borderId="26" xfId="57" applyNumberFormat="1" applyFont="1" applyBorder="1" applyAlignment="1" applyProtection="1">
      <alignment horizontal="center" vertical="center" wrapText="1"/>
      <protection/>
    </xf>
    <xf numFmtId="5" fontId="1" fillId="0" borderId="71" xfId="57" applyNumberFormat="1" applyFont="1" applyBorder="1" applyAlignment="1" applyProtection="1">
      <alignment horizontal="center" vertical="center" shrinkToFit="1"/>
      <protection/>
    </xf>
    <xf numFmtId="5" fontId="1" fillId="0" borderId="16" xfId="57" applyNumberFormat="1" applyFont="1" applyBorder="1" applyAlignment="1" applyProtection="1">
      <alignment horizontal="center" vertical="center" shrinkToFit="1"/>
      <protection/>
    </xf>
    <xf numFmtId="5" fontId="1" fillId="0" borderId="18" xfId="57" applyNumberFormat="1" applyFont="1" applyBorder="1" applyAlignment="1" applyProtection="1">
      <alignment horizontal="center" vertical="center" shrinkToFit="1"/>
      <protection/>
    </xf>
    <xf numFmtId="6" fontId="0" fillId="0" borderId="11" xfId="57" applyNumberFormat="1" applyFont="1" applyBorder="1" applyAlignment="1" applyProtection="1">
      <alignment horizontal="center" vertical="center"/>
      <protection hidden="1"/>
    </xf>
    <xf numFmtId="6" fontId="0" fillId="0" borderId="16" xfId="57" applyNumberFormat="1" applyFont="1" applyBorder="1" applyAlignment="1" applyProtection="1">
      <alignment horizontal="center" vertical="center"/>
      <protection hidden="1"/>
    </xf>
    <xf numFmtId="6" fontId="0" fillId="0" borderId="18" xfId="57" applyNumberFormat="1" applyFont="1" applyBorder="1" applyAlignment="1" applyProtection="1">
      <alignment horizontal="center" vertical="center"/>
      <protection hidden="1"/>
    </xf>
    <xf numFmtId="6" fontId="0" fillId="0" borderId="34" xfId="57" applyNumberFormat="1" applyFont="1" applyBorder="1" applyAlignment="1" applyProtection="1">
      <alignment horizontal="center" vertical="center"/>
      <protection hidden="1"/>
    </xf>
    <xf numFmtId="6" fontId="0" fillId="0" borderId="79" xfId="57" applyNumberFormat="1" applyFont="1" applyBorder="1" applyAlignment="1" applyProtection="1">
      <alignment horizontal="center" vertical="center"/>
      <protection hidden="1"/>
    </xf>
    <xf numFmtId="6" fontId="0" fillId="0" borderId="26" xfId="57" applyNumberFormat="1" applyFont="1" applyBorder="1" applyAlignment="1" applyProtection="1">
      <alignment horizontal="center" vertical="center"/>
      <protection hidden="1"/>
    </xf>
    <xf numFmtId="168" fontId="0" fillId="33" borderId="19" xfId="57" applyNumberFormat="1" applyFont="1" applyFill="1" applyBorder="1" applyAlignment="1" applyProtection="1">
      <alignment horizontal="center" vertical="center" shrinkToFit="1"/>
      <protection hidden="1"/>
    </xf>
    <xf numFmtId="0" fontId="0" fillId="0" borderId="12"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5" fontId="5" fillId="0" borderId="0" xfId="57" applyNumberFormat="1" applyFont="1" applyBorder="1" applyAlignment="1" applyProtection="1">
      <alignment horizontal="center" vertical="center"/>
      <protection/>
    </xf>
    <xf numFmtId="5" fontId="0" fillId="0" borderId="11" xfId="0" applyNumberFormat="1" applyFont="1" applyBorder="1" applyAlignment="1" applyProtection="1">
      <alignment horizontal="center" vertical="center" shrinkToFit="1"/>
      <protection hidden="1"/>
    </xf>
    <xf numFmtId="5" fontId="0" fillId="0" borderId="16" xfId="0" applyNumberFormat="1" applyFont="1" applyBorder="1" applyAlignment="1" applyProtection="1">
      <alignment horizontal="center" vertical="center" shrinkToFit="1"/>
      <protection hidden="1"/>
    </xf>
    <xf numFmtId="5" fontId="0" fillId="0" borderId="18" xfId="0" applyNumberFormat="1" applyFont="1" applyBorder="1" applyAlignment="1" applyProtection="1">
      <alignment horizontal="center" vertical="center" shrinkToFit="1"/>
      <protection hidden="1"/>
    </xf>
    <xf numFmtId="5" fontId="10" fillId="0" borderId="12" xfId="57" applyNumberFormat="1" applyFont="1" applyBorder="1" applyAlignment="1" applyProtection="1">
      <alignment horizontal="center" vertical="center"/>
      <protection/>
    </xf>
    <xf numFmtId="164" fontId="0" fillId="0" borderId="34" xfId="57" applyNumberFormat="1" applyFont="1" applyFill="1" applyBorder="1" applyAlignment="1" applyProtection="1">
      <alignment horizontal="center" vertical="center" shrinkToFit="1"/>
      <protection hidden="1"/>
    </xf>
    <xf numFmtId="164" fontId="0" fillId="0" borderId="79" xfId="57" applyNumberFormat="1" applyFont="1" applyFill="1" applyBorder="1" applyAlignment="1" applyProtection="1">
      <alignment horizontal="center" vertical="center" shrinkToFit="1"/>
      <protection hidden="1"/>
    </xf>
    <xf numFmtId="164" fontId="0" fillId="0" borderId="26" xfId="57" applyNumberFormat="1" applyFont="1" applyFill="1" applyBorder="1" applyAlignment="1" applyProtection="1">
      <alignment horizontal="center" vertical="center" shrinkToFit="1"/>
      <protection hidden="1"/>
    </xf>
    <xf numFmtId="168" fontId="0" fillId="0" borderId="19" xfId="57" applyNumberFormat="1" applyFont="1" applyFill="1" applyBorder="1" applyAlignment="1" applyProtection="1">
      <alignment horizontal="center" vertical="center" shrinkToFit="1"/>
      <protection hidden="1"/>
    </xf>
    <xf numFmtId="168" fontId="0" fillId="0" borderId="12" xfId="57" applyNumberFormat="1" applyFont="1" applyFill="1" applyBorder="1" applyAlignment="1" applyProtection="1">
      <alignment horizontal="center" vertical="center" shrinkToFit="1"/>
      <protection hidden="1"/>
    </xf>
    <xf numFmtId="168" fontId="0" fillId="0" borderId="20" xfId="57" applyNumberFormat="1" applyFont="1" applyFill="1" applyBorder="1" applyAlignment="1" applyProtection="1">
      <alignment horizontal="center" vertical="center" shrinkToFit="1"/>
      <protection hidden="1"/>
    </xf>
    <xf numFmtId="1" fontId="0" fillId="0" borderId="11" xfId="57" applyNumberFormat="1" applyFont="1" applyBorder="1" applyAlignment="1" applyProtection="1">
      <alignment horizontal="center" vertical="center" shrinkToFit="1"/>
      <protection locked="0"/>
    </xf>
    <xf numFmtId="1" fontId="0" fillId="0" borderId="18" xfId="57" applyNumberFormat="1" applyFont="1" applyBorder="1" applyAlignment="1" applyProtection="1">
      <alignment horizontal="center" vertical="center" shrinkToFit="1"/>
      <protection locked="0"/>
    </xf>
    <xf numFmtId="5" fontId="5" fillId="0" borderId="17" xfId="57" applyNumberFormat="1" applyFont="1" applyBorder="1" applyAlignment="1" applyProtection="1">
      <alignment horizontal="left"/>
      <protection/>
    </xf>
    <xf numFmtId="5" fontId="1" fillId="0" borderId="10" xfId="57" applyNumberFormat="1" applyFont="1" applyBorder="1" applyAlignment="1" applyProtection="1">
      <alignment horizontal="center" vertical="center"/>
      <protection/>
    </xf>
    <xf numFmtId="0" fontId="1" fillId="33" borderId="10" xfId="57" applyNumberFormat="1" applyFont="1" applyFill="1" applyBorder="1" applyAlignment="1" applyProtection="1">
      <alignment horizontal="center" vertical="center"/>
      <protection/>
    </xf>
    <xf numFmtId="0" fontId="21" fillId="0" borderId="13" xfId="57" applyNumberFormat="1" applyFont="1" applyFill="1" applyBorder="1" applyAlignment="1" applyProtection="1">
      <alignment horizontal="left" vertical="top" wrapText="1"/>
      <protection hidden="1"/>
    </xf>
    <xf numFmtId="0" fontId="10" fillId="0" borderId="0" xfId="57" applyNumberFormat="1" applyFont="1" applyBorder="1" applyAlignment="1" applyProtection="1">
      <alignment horizontal="center"/>
      <protection hidden="1"/>
    </xf>
    <xf numFmtId="22" fontId="16" fillId="0" borderId="0" xfId="57" applyNumberFormat="1" applyFont="1" applyFill="1" applyBorder="1" applyAlignment="1" applyProtection="1">
      <alignment horizontal="center" vertical="top"/>
      <protection/>
    </xf>
    <xf numFmtId="5" fontId="5" fillId="0" borderId="0" xfId="57" applyNumberFormat="1" applyFont="1" applyBorder="1" applyAlignment="1" applyProtection="1">
      <alignment horizontal="left"/>
      <protection/>
    </xf>
    <xf numFmtId="5" fontId="5" fillId="0" borderId="0" xfId="57" applyNumberFormat="1" applyFont="1" applyFill="1" applyBorder="1" applyAlignment="1" applyProtection="1">
      <alignment horizontal="center" vertical="center"/>
      <protection/>
    </xf>
    <xf numFmtId="187" fontId="0" fillId="0" borderId="34" xfId="57" applyNumberFormat="1" applyFont="1" applyBorder="1" applyAlignment="1" applyProtection="1">
      <alignment horizontal="center" vertical="center" shrinkToFit="1"/>
      <protection hidden="1"/>
    </xf>
    <xf numFmtId="187" fontId="0" fillId="0" borderId="26" xfId="57" applyNumberFormat="1" applyFont="1" applyBorder="1" applyAlignment="1" applyProtection="1">
      <alignment horizontal="center" vertical="center" shrinkToFit="1"/>
      <protection hidden="1"/>
    </xf>
    <xf numFmtId="187" fontId="0" fillId="0" borderId="11" xfId="57" applyNumberFormat="1" applyFont="1" applyBorder="1" applyAlignment="1" applyProtection="1">
      <alignment horizontal="center" vertical="center" shrinkToFit="1"/>
      <protection hidden="1"/>
    </xf>
    <xf numFmtId="187" fontId="0" fillId="0" borderId="18" xfId="57" applyNumberFormat="1" applyFont="1" applyBorder="1" applyAlignment="1" applyProtection="1">
      <alignment horizontal="center" vertical="center" shrinkToFit="1"/>
      <protection hidden="1"/>
    </xf>
    <xf numFmtId="5" fontId="37" fillId="0" borderId="0" xfId="57" applyNumberFormat="1" applyFont="1" applyBorder="1" applyAlignment="1" applyProtection="1">
      <alignment horizontal="center" vertical="center"/>
      <protection locked="0"/>
    </xf>
    <xf numFmtId="5" fontId="5" fillId="0" borderId="0" xfId="57" applyNumberFormat="1" applyFont="1" applyAlignment="1" applyProtection="1">
      <alignment horizontal="left" vertical="center"/>
      <protection/>
    </xf>
    <xf numFmtId="0" fontId="21" fillId="0" borderId="13" xfId="57" applyNumberFormat="1" applyFont="1" applyFill="1" applyBorder="1" applyAlignment="1" applyProtection="1">
      <alignment horizontal="left" vertical="center" wrapText="1"/>
      <protection hidden="1"/>
    </xf>
    <xf numFmtId="5" fontId="5" fillId="0" borderId="0" xfId="57" applyNumberFormat="1" applyFont="1" applyBorder="1" applyAlignment="1" applyProtection="1">
      <alignment horizontal="left" vertical="center"/>
      <protection/>
    </xf>
    <xf numFmtId="2" fontId="0" fillId="33" borderId="19" xfId="57" applyNumberFormat="1" applyFont="1" applyFill="1" applyBorder="1" applyAlignment="1" applyProtection="1">
      <alignment horizontal="center" vertical="center"/>
      <protection/>
    </xf>
    <xf numFmtId="2" fontId="0" fillId="33" borderId="12" xfId="57" applyNumberFormat="1" applyFont="1" applyFill="1" applyBorder="1" applyAlignment="1" applyProtection="1">
      <alignment horizontal="center" vertical="center"/>
      <protection/>
    </xf>
    <xf numFmtId="2" fontId="0" fillId="33" borderId="20" xfId="57" applyNumberFormat="1" applyFont="1" applyFill="1" applyBorder="1" applyAlignment="1" applyProtection="1">
      <alignment horizontal="center" vertical="center"/>
      <protection/>
    </xf>
    <xf numFmtId="5" fontId="1" fillId="0" borderId="22" xfId="57" applyNumberFormat="1" applyFont="1" applyBorder="1" applyAlignment="1" applyProtection="1">
      <alignment horizontal="center" vertical="center"/>
      <protection/>
    </xf>
    <xf numFmtId="0" fontId="21" fillId="0" borderId="0" xfId="57" applyNumberFormat="1" applyFont="1" applyFill="1" applyBorder="1" applyAlignment="1" applyProtection="1">
      <alignment horizontal="left" vertical="top" wrapText="1"/>
      <protection hidden="1"/>
    </xf>
    <xf numFmtId="0" fontId="1" fillId="0" borderId="0" xfId="57" applyNumberFormat="1" applyFont="1" applyFill="1" applyBorder="1" applyAlignment="1" applyProtection="1">
      <alignment horizontal="center" vertical="center"/>
      <protection/>
    </xf>
    <xf numFmtId="0" fontId="0" fillId="0" borderId="11" xfId="0" applyFill="1" applyBorder="1" applyAlignment="1" applyProtection="1">
      <alignment horizontal="center"/>
      <protection locked="0"/>
    </xf>
    <xf numFmtId="0" fontId="0" fillId="0" borderId="18" xfId="0" applyBorder="1" applyAlignment="1" applyProtection="1">
      <alignment horizontal="center"/>
      <protection locked="0"/>
    </xf>
    <xf numFmtId="0" fontId="0" fillId="0" borderId="18" xfId="0" applyFill="1" applyBorder="1" applyAlignment="1" applyProtection="1">
      <alignment horizontal="center"/>
      <protection locked="0"/>
    </xf>
    <xf numFmtId="0" fontId="116" fillId="0" borderId="0" xfId="0" applyFont="1" applyFill="1" applyBorder="1" applyAlignment="1">
      <alignment horizontal="left" wrapText="1"/>
    </xf>
    <xf numFmtId="0" fontId="121" fillId="41" borderId="0" xfId="0" applyFont="1" applyFill="1" applyBorder="1" applyAlignment="1">
      <alignment vertical="center" wrapText="1"/>
    </xf>
    <xf numFmtId="22" fontId="0" fillId="0" borderId="0" xfId="57" applyNumberFormat="1" applyFont="1" applyFill="1" applyBorder="1" applyAlignment="1" applyProtection="1">
      <alignment horizontal="center" vertical="top"/>
      <protection/>
    </xf>
    <xf numFmtId="5" fontId="0" fillId="0" borderId="0" xfId="57" applyNumberFormat="1" applyFont="1" applyFill="1" applyBorder="1" applyAlignment="1" applyProtection="1">
      <alignment horizontal="center" vertical="top"/>
      <protection/>
    </xf>
    <xf numFmtId="0" fontId="111" fillId="0" borderId="21" xfId="0" applyFont="1" applyFill="1" applyBorder="1" applyAlignment="1">
      <alignment horizontal="left" vertical="center" wrapText="1"/>
    </xf>
    <xf numFmtId="0" fontId="111" fillId="0" borderId="17" xfId="0" applyFont="1" applyFill="1" applyBorder="1" applyAlignment="1">
      <alignment horizontal="left" vertical="center" wrapText="1"/>
    </xf>
    <xf numFmtId="0" fontId="111" fillId="0" borderId="29" xfId="0" applyFont="1" applyFill="1" applyBorder="1" applyAlignment="1">
      <alignment horizontal="left" vertical="center" wrapText="1"/>
    </xf>
    <xf numFmtId="0" fontId="111" fillId="0" borderId="19" xfId="0" applyFont="1" applyFill="1" applyBorder="1" applyAlignment="1">
      <alignment horizontal="left" vertical="center" wrapText="1"/>
    </xf>
    <xf numFmtId="0" fontId="111" fillId="0" borderId="12" xfId="0" applyFont="1" applyFill="1" applyBorder="1" applyAlignment="1">
      <alignment horizontal="left" vertical="center" wrapText="1"/>
    </xf>
    <xf numFmtId="0" fontId="111" fillId="0" borderId="20" xfId="0" applyFont="1" applyFill="1" applyBorder="1" applyAlignment="1">
      <alignment horizontal="left" vertical="center" wrapText="1"/>
    </xf>
    <xf numFmtId="0" fontId="111" fillId="0" borderId="61" xfId="0" applyFont="1" applyFill="1" applyBorder="1" applyAlignment="1" applyProtection="1">
      <alignment horizontal="left" vertical="center" wrapText="1"/>
      <protection locked="0"/>
    </xf>
    <xf numFmtId="0" fontId="111" fillId="0" borderId="62" xfId="0" applyFont="1" applyFill="1" applyBorder="1" applyAlignment="1" applyProtection="1">
      <alignment horizontal="left" vertical="center" wrapText="1"/>
      <protection locked="0"/>
    </xf>
    <xf numFmtId="0" fontId="111" fillId="0" borderId="73" xfId="0" applyFont="1" applyFill="1" applyBorder="1" applyAlignment="1" applyProtection="1">
      <alignment horizontal="left" vertical="center" wrapText="1"/>
      <protection locked="0"/>
    </xf>
    <xf numFmtId="0" fontId="111" fillId="0" borderId="10" xfId="0" applyFont="1" applyFill="1" applyBorder="1" applyAlignment="1" applyProtection="1">
      <alignment horizontal="center" vertical="center" wrapText="1"/>
      <protection locked="0"/>
    </xf>
    <xf numFmtId="0" fontId="117" fillId="0" borderId="10" xfId="0" applyFont="1" applyFill="1" applyBorder="1" applyAlignment="1">
      <alignment horizontal="center" vertical="center" wrapText="1"/>
    </xf>
    <xf numFmtId="0" fontId="121" fillId="41" borderId="13" xfId="0" applyFont="1" applyFill="1" applyBorder="1" applyAlignment="1">
      <alignment vertical="center" wrapText="1"/>
    </xf>
    <xf numFmtId="0" fontId="1" fillId="0" borderId="17" xfId="0" applyFont="1" applyBorder="1" applyAlignment="1">
      <alignment horizontal="right" vertical="center"/>
    </xf>
    <xf numFmtId="0" fontId="14" fillId="0" borderId="11" xfId="59" applyFont="1" applyBorder="1" applyAlignment="1">
      <alignment horizontal="center"/>
      <protection/>
    </xf>
    <xf numFmtId="0" fontId="14" fillId="0" borderId="16" xfId="59" applyFont="1" applyBorder="1" applyAlignment="1">
      <alignment horizontal="center"/>
      <protection/>
    </xf>
    <xf numFmtId="0" fontId="14" fillId="0" borderId="18" xfId="59" applyFont="1" applyBorder="1" applyAlignment="1">
      <alignment horizontal="center"/>
      <protection/>
    </xf>
    <xf numFmtId="49" fontId="0" fillId="0" borderId="11" xfId="59" applyNumberFormat="1" applyFont="1" applyBorder="1" applyAlignment="1" applyProtection="1">
      <alignment horizontal="left" vertical="center" shrinkToFit="1"/>
      <protection locked="0"/>
    </xf>
    <xf numFmtId="49" fontId="0" fillId="0" borderId="16" xfId="59" applyNumberFormat="1" applyFont="1" applyBorder="1" applyAlignment="1" applyProtection="1">
      <alignment horizontal="left" vertical="center" shrinkToFit="1"/>
      <protection locked="0"/>
    </xf>
    <xf numFmtId="49" fontId="0" fillId="0" borderId="18" xfId="59" applyNumberFormat="1" applyFont="1" applyBorder="1" applyAlignment="1" applyProtection="1">
      <alignment horizontal="left" vertical="center" shrinkToFit="1"/>
      <protection locked="0"/>
    </xf>
    <xf numFmtId="0" fontId="0" fillId="0" borderId="10" xfId="0" applyFont="1" applyBorder="1" applyAlignment="1">
      <alignment horizontal="center"/>
    </xf>
    <xf numFmtId="0" fontId="7" fillId="0" borderId="17" xfId="59" applyFont="1" applyBorder="1" applyAlignment="1" applyProtection="1">
      <alignment horizontal="center" vertical="center"/>
      <protection/>
    </xf>
    <xf numFmtId="49" fontId="16" fillId="0" borderId="11" xfId="59" applyNumberFormat="1" applyFont="1" applyBorder="1" applyAlignment="1" applyProtection="1">
      <alignment horizontal="left" vertical="center" wrapText="1" shrinkToFit="1"/>
      <protection locked="0"/>
    </xf>
    <xf numFmtId="49" fontId="16" fillId="0" borderId="16" xfId="59" applyNumberFormat="1" applyFont="1" applyBorder="1" applyAlignment="1" applyProtection="1">
      <alignment horizontal="left" vertical="center" wrapText="1" shrinkToFit="1"/>
      <protection locked="0"/>
    </xf>
    <xf numFmtId="49" fontId="16" fillId="0" borderId="18" xfId="59" applyNumberFormat="1" applyFont="1" applyBorder="1" applyAlignment="1" applyProtection="1">
      <alignment horizontal="left" vertical="center" wrapText="1" shrinkToFit="1"/>
      <protection locked="0"/>
    </xf>
    <xf numFmtId="0" fontId="11" fillId="0" borderId="21" xfId="59" applyFont="1" applyBorder="1" applyAlignment="1" applyProtection="1">
      <alignment horizontal="left" shrinkToFit="1"/>
      <protection/>
    </xf>
    <xf numFmtId="0" fontId="11" fillId="0" borderId="17" xfId="59" applyFont="1" applyBorder="1" applyAlignment="1" applyProtection="1">
      <alignment horizontal="left" shrinkToFit="1"/>
      <protection/>
    </xf>
    <xf numFmtId="0" fontId="11" fillId="0" borderId="29" xfId="59" applyFont="1" applyBorder="1" applyAlignment="1" applyProtection="1">
      <alignment horizontal="left" shrinkToFit="1"/>
      <protection/>
    </xf>
    <xf numFmtId="0" fontId="43" fillId="0" borderId="19" xfId="59" applyFont="1" applyBorder="1" applyAlignment="1" applyProtection="1">
      <alignment horizontal="center" vertical="center"/>
      <protection hidden="1"/>
    </xf>
    <xf numFmtId="0" fontId="43" fillId="0" borderId="12" xfId="59" applyFont="1" applyBorder="1" applyAlignment="1" applyProtection="1">
      <alignment horizontal="center" vertical="center"/>
      <protection hidden="1"/>
    </xf>
    <xf numFmtId="0" fontId="43" fillId="0" borderId="20" xfId="59" applyFont="1" applyBorder="1" applyAlignment="1" applyProtection="1">
      <alignment horizontal="center" vertical="center"/>
      <protection hidden="1"/>
    </xf>
    <xf numFmtId="0" fontId="10" fillId="35" borderId="11" xfId="59" applyFont="1" applyFill="1" applyBorder="1" applyAlignment="1" applyProtection="1">
      <alignment horizontal="center" vertical="center"/>
      <protection/>
    </xf>
    <xf numFmtId="0" fontId="10" fillId="35" borderId="18" xfId="59" applyFont="1" applyFill="1" applyBorder="1" applyAlignment="1" applyProtection="1">
      <alignment horizontal="center" vertical="center"/>
      <protection/>
    </xf>
    <xf numFmtId="170" fontId="24" fillId="0" borderId="12" xfId="59" applyNumberFormat="1" applyFont="1" applyBorder="1" applyAlignment="1" applyProtection="1">
      <alignment horizontal="center" vertical="center"/>
      <protection hidden="1"/>
    </xf>
    <xf numFmtId="0" fontId="11" fillId="0" borderId="21" xfId="59" applyFont="1" applyBorder="1" applyAlignment="1" applyProtection="1">
      <alignment horizontal="left" vertical="center" shrinkToFit="1"/>
      <protection/>
    </xf>
    <xf numFmtId="0" fontId="11" fillId="0" borderId="17" xfId="59" applyFont="1" applyBorder="1" applyAlignment="1" applyProtection="1">
      <alignment horizontal="left" vertical="center" shrinkToFit="1"/>
      <protection/>
    </xf>
    <xf numFmtId="0" fontId="11" fillId="0" borderId="29" xfId="59" applyFont="1" applyBorder="1" applyAlignment="1" applyProtection="1">
      <alignment horizontal="left" vertical="center" shrinkToFit="1"/>
      <protection/>
    </xf>
    <xf numFmtId="0" fontId="1" fillId="0" borderId="17" xfId="0" applyFont="1" applyBorder="1" applyAlignment="1" applyProtection="1">
      <alignment horizontal="right" vertical="center"/>
      <protection hidden="1"/>
    </xf>
    <xf numFmtId="0" fontId="7" fillId="0" borderId="11" xfId="59" applyFont="1" applyBorder="1" applyAlignment="1" applyProtection="1">
      <alignment horizontal="left" vertical="center" indent="1"/>
      <protection locked="0"/>
    </xf>
    <xf numFmtId="0" fontId="7" fillId="0" borderId="16" xfId="59" applyFont="1" applyBorder="1" applyAlignment="1" applyProtection="1">
      <alignment horizontal="left" vertical="center" indent="1"/>
      <protection locked="0"/>
    </xf>
    <xf numFmtId="0" fontId="7" fillId="0" borderId="18" xfId="59" applyFont="1" applyBorder="1" applyAlignment="1" applyProtection="1">
      <alignment horizontal="left" vertical="center" indent="1"/>
      <protection locked="0"/>
    </xf>
    <xf numFmtId="49" fontId="7" fillId="0" borderId="11" xfId="59" applyNumberFormat="1" applyFont="1" applyBorder="1" applyAlignment="1" applyProtection="1">
      <alignment horizontal="left" vertical="center" shrinkToFit="1"/>
      <protection locked="0"/>
    </xf>
    <xf numFmtId="49" fontId="7" fillId="0" borderId="16" xfId="59" applyNumberFormat="1" applyFont="1" applyBorder="1" applyAlignment="1" applyProtection="1">
      <alignment horizontal="left" vertical="center" shrinkToFit="1"/>
      <protection locked="0"/>
    </xf>
    <xf numFmtId="49" fontId="7" fillId="0" borderId="18" xfId="59" applyNumberFormat="1" applyFont="1" applyBorder="1" applyAlignment="1" applyProtection="1">
      <alignment horizontal="left" vertical="center" shrinkToFit="1"/>
      <protection locked="0"/>
    </xf>
    <xf numFmtId="49" fontId="7" fillId="0" borderId="11" xfId="59" applyNumberFormat="1" applyFont="1" applyBorder="1" applyAlignment="1" applyProtection="1">
      <alignment horizontal="left" vertical="center" shrinkToFit="1"/>
      <protection locked="0"/>
    </xf>
    <xf numFmtId="0" fontId="8" fillId="33" borderId="11" xfId="59" applyFont="1" applyFill="1" applyBorder="1" applyAlignment="1" applyProtection="1">
      <alignment horizontal="center" vertical="center"/>
      <protection/>
    </xf>
    <xf numFmtId="0" fontId="8" fillId="33" borderId="18" xfId="59" applyFont="1" applyFill="1" applyBorder="1" applyAlignment="1" applyProtection="1">
      <alignment horizontal="center" vertical="center"/>
      <protection/>
    </xf>
    <xf numFmtId="0" fontId="125" fillId="0" borderId="11" xfId="59" applyFont="1" applyBorder="1" applyAlignment="1" applyProtection="1">
      <alignment horizontal="left" vertical="center" shrinkToFit="1"/>
      <protection/>
    </xf>
    <xf numFmtId="0" fontId="125" fillId="0" borderId="16" xfId="59" applyFont="1" applyBorder="1" applyAlignment="1" applyProtection="1">
      <alignment horizontal="left" vertical="center" shrinkToFit="1"/>
      <protection/>
    </xf>
    <xf numFmtId="0" fontId="125" fillId="0" borderId="18" xfId="59" applyFont="1" applyBorder="1" applyAlignment="1" applyProtection="1">
      <alignment horizontal="left" vertical="center" shrinkToFit="1"/>
      <protection/>
    </xf>
    <xf numFmtId="0" fontId="26" fillId="39" borderId="21" xfId="59" applyFont="1" applyFill="1" applyBorder="1" applyAlignment="1" applyProtection="1">
      <alignment horizontal="left" vertical="center"/>
      <protection/>
    </xf>
    <xf numFmtId="0" fontId="26" fillId="39" borderId="17" xfId="59" applyFont="1" applyFill="1" applyBorder="1" applyAlignment="1" applyProtection="1">
      <alignment horizontal="left" vertical="center"/>
      <protection/>
    </xf>
    <xf numFmtId="0" fontId="26" fillId="39" borderId="29" xfId="59" applyFont="1" applyFill="1" applyBorder="1" applyAlignment="1" applyProtection="1">
      <alignment horizontal="left" vertical="center"/>
      <protection/>
    </xf>
    <xf numFmtId="0" fontId="11" fillId="0" borderId="80" xfId="59" applyFont="1" applyBorder="1" applyAlignment="1" applyProtection="1">
      <alignment horizontal="center" vertical="top" shrinkToFit="1"/>
      <protection/>
    </xf>
    <xf numFmtId="0" fontId="6" fillId="0" borderId="20" xfId="0" applyFont="1" applyBorder="1" applyAlignment="1">
      <alignment horizontal="center" vertical="top" shrinkToFit="1"/>
    </xf>
    <xf numFmtId="0" fontId="14" fillId="0" borderId="11" xfId="59" applyFont="1" applyBorder="1" applyAlignment="1">
      <alignment horizontal="center"/>
      <protection/>
    </xf>
    <xf numFmtId="0" fontId="0" fillId="0" borderId="16" xfId="0" applyBorder="1" applyAlignment="1">
      <alignment horizontal="center"/>
    </xf>
    <xf numFmtId="0" fontId="0" fillId="0" borderId="18" xfId="0" applyBorder="1" applyAlignment="1">
      <alignment horizontal="center"/>
    </xf>
    <xf numFmtId="0" fontId="11" fillId="0" borderId="21" xfId="59" applyFont="1" applyBorder="1" applyAlignment="1" applyProtection="1">
      <alignment horizontal="left" vertical="center" shrinkToFit="1"/>
      <protection/>
    </xf>
    <xf numFmtId="0" fontId="11" fillId="0" borderId="17" xfId="59" applyFont="1" applyBorder="1" applyAlignment="1" applyProtection="1">
      <alignment horizontal="left" vertical="center" shrinkToFit="1"/>
      <protection/>
    </xf>
    <xf numFmtId="0" fontId="11" fillId="0" borderId="29" xfId="59" applyFont="1" applyBorder="1" applyAlignment="1" applyProtection="1">
      <alignment horizontal="left" vertical="center" shrinkToFit="1"/>
      <protection/>
    </xf>
    <xf numFmtId="0" fontId="11" fillId="0" borderId="21" xfId="59" applyFont="1" applyBorder="1" applyAlignment="1" applyProtection="1">
      <alignment horizontal="center" shrinkToFit="1"/>
      <protection/>
    </xf>
    <xf numFmtId="0" fontId="11" fillId="0" borderId="17" xfId="59" applyFont="1" applyBorder="1" applyAlignment="1" applyProtection="1">
      <alignment horizontal="center" shrinkToFit="1"/>
      <protection/>
    </xf>
    <xf numFmtId="0" fontId="11" fillId="0" borderId="29" xfId="59" applyFont="1" applyBorder="1" applyAlignment="1" applyProtection="1">
      <alignment horizontal="center" shrinkToFit="1"/>
      <protection/>
    </xf>
    <xf numFmtId="0" fontId="26" fillId="39" borderId="13" xfId="59" applyFont="1" applyFill="1" applyBorder="1" applyAlignment="1" applyProtection="1">
      <alignment horizontal="left" vertical="center"/>
      <protection/>
    </xf>
    <xf numFmtId="0" fontId="26" fillId="39" borderId="0" xfId="59" applyFont="1" applyFill="1" applyBorder="1" applyAlignment="1" applyProtection="1">
      <alignment horizontal="left" vertical="center"/>
      <protection/>
    </xf>
    <xf numFmtId="0" fontId="26" fillId="39" borderId="14" xfId="59" applyFont="1" applyFill="1" applyBorder="1" applyAlignment="1" applyProtection="1">
      <alignment horizontal="left" vertical="center"/>
      <protection/>
    </xf>
    <xf numFmtId="0" fontId="126" fillId="39" borderId="19" xfId="59" applyFont="1" applyFill="1" applyBorder="1" applyAlignment="1" applyProtection="1">
      <alignment horizontal="left" vertical="center"/>
      <protection/>
    </xf>
    <xf numFmtId="0" fontId="126" fillId="39" borderId="12" xfId="59" applyFont="1" applyFill="1" applyBorder="1" applyAlignment="1" applyProtection="1">
      <alignment horizontal="left" vertical="center"/>
      <protection/>
    </xf>
    <xf numFmtId="0" fontId="126" fillId="39" borderId="20" xfId="59" applyFont="1" applyFill="1" applyBorder="1" applyAlignment="1" applyProtection="1">
      <alignment horizontal="left" vertical="center"/>
      <protection/>
    </xf>
    <xf numFmtId="0" fontId="7" fillId="0" borderId="17" xfId="59" applyFont="1" applyBorder="1" applyAlignment="1" applyProtection="1">
      <alignment horizontal="center" vertical="center" shrinkToFit="1"/>
      <protection hidden="1"/>
    </xf>
    <xf numFmtId="0" fontId="26" fillId="0" borderId="12" xfId="0" applyFont="1" applyBorder="1" applyAlignment="1" applyProtection="1">
      <alignment horizontal="center" vertical="center" wrapText="1"/>
      <protection hidden="1"/>
    </xf>
    <xf numFmtId="0" fontId="0" fillId="0" borderId="12" xfId="0" applyBorder="1" applyAlignment="1" applyProtection="1">
      <alignment horizontal="center" wrapText="1"/>
      <protection hidden="1"/>
    </xf>
    <xf numFmtId="0" fontId="5" fillId="0" borderId="11" xfId="59" applyFont="1" applyBorder="1" applyAlignment="1" applyProtection="1">
      <alignment horizontal="left" vertical="center" shrinkToFit="1"/>
      <protection/>
    </xf>
    <xf numFmtId="0" fontId="5" fillId="0" borderId="16" xfId="59" applyFont="1" applyBorder="1" applyAlignment="1" applyProtection="1">
      <alignment horizontal="left" vertical="center" shrinkToFit="1"/>
      <protection/>
    </xf>
    <xf numFmtId="0" fontId="11" fillId="0" borderId="21" xfId="0" applyFont="1" applyBorder="1" applyAlignment="1">
      <alignment horizontal="center" shrinkToFit="1"/>
    </xf>
    <xf numFmtId="0" fontId="11" fillId="0" borderId="17" xfId="0" applyFont="1" applyBorder="1" applyAlignment="1">
      <alignment horizontal="center" shrinkToFit="1"/>
    </xf>
    <xf numFmtId="0" fontId="11" fillId="0" borderId="81" xfId="59" applyFont="1" applyBorder="1" applyAlignment="1" applyProtection="1">
      <alignment horizontal="center" shrinkToFit="1"/>
      <protection/>
    </xf>
    <xf numFmtId="0" fontId="10" fillId="35" borderId="11" xfId="59" applyFont="1" applyFill="1" applyBorder="1" applyAlignment="1" applyProtection="1">
      <alignment horizontal="center" vertical="center" wrapText="1"/>
      <protection/>
    </xf>
    <xf numFmtId="0" fontId="10" fillId="35" borderId="18" xfId="59" applyFont="1" applyFill="1" applyBorder="1" applyAlignment="1" applyProtection="1">
      <alignment horizontal="center" vertical="center" wrapText="1"/>
      <protection/>
    </xf>
    <xf numFmtId="0" fontId="11" fillId="0" borderId="19" xfId="59" applyFont="1" applyBorder="1" applyAlignment="1" applyProtection="1">
      <alignment horizontal="center" vertical="top" shrinkToFit="1"/>
      <protection/>
    </xf>
    <xf numFmtId="0" fontId="11" fillId="0" borderId="12" xfId="59" applyFont="1" applyBorder="1" applyAlignment="1" applyProtection="1">
      <alignment horizontal="center" vertical="top" shrinkToFit="1"/>
      <protection/>
    </xf>
    <xf numFmtId="0" fontId="0" fillId="0" borderId="12" xfId="0" applyFont="1" applyBorder="1" applyAlignment="1">
      <alignment horizontal="center" wrapText="1"/>
    </xf>
    <xf numFmtId="0" fontId="0" fillId="0" borderId="17" xfId="0" applyFont="1" applyBorder="1" applyAlignment="1">
      <alignment horizontal="center" wrapText="1"/>
    </xf>
    <xf numFmtId="0" fontId="0" fillId="0" borderId="29" xfId="0" applyBorder="1" applyAlignment="1">
      <alignment horizontal="center" wrapText="1"/>
    </xf>
    <xf numFmtId="0" fontId="0" fillId="0" borderId="12" xfId="0" applyBorder="1" applyAlignment="1">
      <alignment horizontal="center" wrapText="1"/>
    </xf>
    <xf numFmtId="0" fontId="0" fillId="0" borderId="20" xfId="0" applyBorder="1" applyAlignment="1">
      <alignment horizontal="center" wrapText="1"/>
    </xf>
    <xf numFmtId="0" fontId="0" fillId="0" borderId="21" xfId="0" applyFont="1" applyBorder="1" applyAlignment="1">
      <alignment horizontal="center" wrapText="1"/>
    </xf>
    <xf numFmtId="0" fontId="0" fillId="0" borderId="19" xfId="0" applyBorder="1" applyAlignment="1">
      <alignment horizontal="center" wrapText="1"/>
    </xf>
    <xf numFmtId="0" fontId="0" fillId="39" borderId="12" xfId="0" applyFill="1" applyBorder="1" applyAlignment="1">
      <alignment/>
    </xf>
    <xf numFmtId="0" fontId="0" fillId="39" borderId="20" xfId="0" applyFill="1" applyBorder="1" applyAlignment="1">
      <alignment/>
    </xf>
    <xf numFmtId="49" fontId="0" fillId="0" borderId="16" xfId="0" applyNumberFormat="1" applyFont="1" applyBorder="1" applyAlignment="1">
      <alignment horizontal="left"/>
    </xf>
    <xf numFmtId="49" fontId="0" fillId="0" borderId="18" xfId="0" applyNumberFormat="1" applyFont="1" applyBorder="1" applyAlignment="1">
      <alignment horizontal="left"/>
    </xf>
    <xf numFmtId="49" fontId="0" fillId="0" borderId="16" xfId="0" applyNumberFormat="1" applyFont="1" applyBorder="1" applyAlignment="1">
      <alignment horizontal="left" wrapText="1"/>
    </xf>
    <xf numFmtId="49" fontId="0" fillId="0" borderId="18" xfId="0" applyNumberFormat="1" applyFont="1" applyBorder="1" applyAlignment="1">
      <alignment horizontal="left" wrapText="1"/>
    </xf>
    <xf numFmtId="0" fontId="16" fillId="0" borderId="21" xfId="0" applyFont="1" applyBorder="1" applyAlignment="1" applyProtection="1">
      <alignment horizontal="center" wrapText="1"/>
      <protection locked="0"/>
    </xf>
    <xf numFmtId="0" fontId="16" fillId="0" borderId="17" xfId="0" applyFont="1" applyBorder="1" applyAlignment="1" applyProtection="1">
      <alignment horizontal="center" wrapText="1"/>
      <protection locked="0"/>
    </xf>
    <xf numFmtId="0" fontId="16" fillId="0" borderId="29" xfId="0" applyFont="1" applyBorder="1" applyAlignment="1" applyProtection="1">
      <alignment horizontal="center" wrapText="1"/>
      <protection locked="0"/>
    </xf>
    <xf numFmtId="0" fontId="16" fillId="0" borderId="19" xfId="0" applyFont="1" applyBorder="1" applyAlignment="1" applyProtection="1">
      <alignment horizontal="center" wrapText="1"/>
      <protection locked="0"/>
    </xf>
    <xf numFmtId="0" fontId="16" fillId="0" borderId="12" xfId="0" applyFont="1" applyBorder="1" applyAlignment="1" applyProtection="1">
      <alignment horizontal="center" wrapText="1"/>
      <protection locked="0"/>
    </xf>
    <xf numFmtId="0" fontId="16" fillId="0" borderId="20" xfId="0" applyFont="1" applyBorder="1" applyAlignment="1" applyProtection="1">
      <alignment horizontal="center" wrapText="1"/>
      <protection locked="0"/>
    </xf>
    <xf numFmtId="0" fontId="0" fillId="0" borderId="17" xfId="0" applyFont="1" applyBorder="1" applyAlignment="1">
      <alignment horizontal="center"/>
    </xf>
    <xf numFmtId="0" fontId="0" fillId="0" borderId="17" xfId="0" applyBorder="1" applyAlignment="1">
      <alignment horizontal="center"/>
    </xf>
    <xf numFmtId="0" fontId="1" fillId="0" borderId="0" xfId="0" applyFont="1" applyAlignment="1">
      <alignment horizontal="right"/>
    </xf>
    <xf numFmtId="0" fontId="57" fillId="0" borderId="0" xfId="0" applyFont="1" applyBorder="1" applyAlignment="1">
      <alignment horizontal="left"/>
    </xf>
    <xf numFmtId="0" fontId="6" fillId="0" borderId="0" xfId="0" applyFont="1" applyAlignment="1">
      <alignment horizontal="center"/>
    </xf>
    <xf numFmtId="0" fontId="0" fillId="0" borderId="16" xfId="0" applyFont="1" applyBorder="1" applyAlignment="1">
      <alignment horizontal="left" wrapText="1"/>
    </xf>
    <xf numFmtId="0" fontId="0" fillId="0" borderId="18" xfId="0" applyFont="1" applyBorder="1" applyAlignment="1">
      <alignment horizontal="left" wrapText="1"/>
    </xf>
    <xf numFmtId="0" fontId="0" fillId="0" borderId="21" xfId="0" applyFont="1" applyFill="1" applyBorder="1" applyAlignment="1">
      <alignment horizontal="center" wrapText="1"/>
    </xf>
    <xf numFmtId="0" fontId="0" fillId="0" borderId="29"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12" xfId="0" applyFont="1" applyBorder="1" applyAlignment="1">
      <alignment horizontal="center"/>
    </xf>
    <xf numFmtId="0" fontId="0" fillId="0" borderId="12" xfId="0" applyBorder="1" applyAlignment="1">
      <alignment horizontal="center"/>
    </xf>
    <xf numFmtId="0" fontId="0" fillId="0" borderId="0" xfId="0" applyFont="1" applyAlignment="1">
      <alignment horizontal="center"/>
    </xf>
    <xf numFmtId="0" fontId="0" fillId="0" borderId="0" xfId="0" applyAlignment="1">
      <alignment horizontal="center"/>
    </xf>
    <xf numFmtId="22" fontId="0" fillId="0" borderId="0" xfId="0" applyNumberFormat="1" applyAlignment="1">
      <alignment horizontal="center"/>
    </xf>
    <xf numFmtId="0" fontId="0" fillId="0" borderId="0" xfId="0" applyFont="1" applyBorder="1" applyAlignment="1">
      <alignment horizontal="center"/>
    </xf>
    <xf numFmtId="0" fontId="0" fillId="0" borderId="0" xfId="0"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Ffa\STATE FARMER P1 96.xls" xfId="57"/>
    <cellStyle name="Normal_School__" xfId="58"/>
    <cellStyle name="Normal_STATE FARMER P2 96" xfId="59"/>
    <cellStyle name="Note" xfId="60"/>
    <cellStyle name="Output" xfId="61"/>
    <cellStyle name="Percent" xfId="62"/>
    <cellStyle name="Title" xfId="63"/>
    <cellStyle name="Total" xfId="64"/>
    <cellStyle name="Warning Text" xfId="65"/>
  </cellStyles>
  <dxfs count="1">
    <dxf>
      <font>
        <color rgb="FF9C0006"/>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30</xdr:row>
      <xdr:rowOff>9525</xdr:rowOff>
    </xdr:from>
    <xdr:to>
      <xdr:col>13</xdr:col>
      <xdr:colOff>19050</xdr:colOff>
      <xdr:row>34</xdr:row>
      <xdr:rowOff>0</xdr:rowOff>
    </xdr:to>
    <xdr:sp>
      <xdr:nvSpPr>
        <xdr:cNvPr id="1" name="Text 2"/>
        <xdr:cNvSpPr txBox="1">
          <a:spLocks noChangeArrowheads="1"/>
        </xdr:cNvSpPr>
      </xdr:nvSpPr>
      <xdr:spPr>
        <a:xfrm>
          <a:off x="3486150" y="6705600"/>
          <a:ext cx="2714625" cy="571500"/>
        </a:xfrm>
        <a:prstGeom prst="rect">
          <a:avLst/>
        </a:prstGeom>
        <a:solidFill>
          <a:srgbClr val="CCFFCC"/>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STAR CANDIDATES ATTACH A </a:t>
          </a:r>
          <a:r>
            <a:rPr lang="en-US" cap="none" sz="1100" b="1" i="0" u="none" baseline="0">
              <a:solidFill>
                <a:srgbClr val="000000"/>
              </a:solidFill>
              <a:latin typeface="Arial"/>
              <a:ea typeface="Arial"/>
              <a:cs typeface="Arial"/>
            </a:rPr>
            <a:t>BIOGRAPHY TO THE APPLICATION
</a:t>
          </a:r>
          <a:r>
            <a:rPr lang="en-US" cap="none" sz="900" b="1" i="0" u="none" baseline="0">
              <a:solidFill>
                <a:srgbClr val="000000"/>
              </a:solidFill>
              <a:latin typeface="Arial"/>
              <a:ea typeface="Arial"/>
              <a:cs typeface="Arial"/>
            </a:rPr>
            <a:t>(SEE SAMPLE: INSTRUCTION BOOK PAGE 8)</a:t>
          </a:r>
        </a:p>
      </xdr:txBody>
    </xdr:sp>
    <xdr:clientData/>
  </xdr:twoCellAnchor>
  <xdr:twoCellAnchor>
    <xdr:from>
      <xdr:col>9</xdr:col>
      <xdr:colOff>266700</xdr:colOff>
      <xdr:row>23</xdr:row>
      <xdr:rowOff>47625</xdr:rowOff>
    </xdr:from>
    <xdr:to>
      <xdr:col>9</xdr:col>
      <xdr:colOff>438150</xdr:colOff>
      <xdr:row>23</xdr:row>
      <xdr:rowOff>219075</xdr:rowOff>
    </xdr:to>
    <xdr:sp fLocksText="0">
      <xdr:nvSpPr>
        <xdr:cNvPr id="2" name="Text 3"/>
        <xdr:cNvSpPr txBox="1">
          <a:spLocks noChangeArrowheads="1"/>
        </xdr:cNvSpPr>
      </xdr:nvSpPr>
      <xdr:spPr>
        <a:xfrm>
          <a:off x="3790950" y="552450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25</xdr:row>
      <xdr:rowOff>0</xdr:rowOff>
    </xdr:from>
    <xdr:to>
      <xdr:col>10</xdr:col>
      <xdr:colOff>0</xdr:colOff>
      <xdr:row>25</xdr:row>
      <xdr:rowOff>161925</xdr:rowOff>
    </xdr:to>
    <xdr:sp fLocksText="0">
      <xdr:nvSpPr>
        <xdr:cNvPr id="3" name="Text 4"/>
        <xdr:cNvSpPr txBox="1">
          <a:spLocks noChangeArrowheads="1"/>
        </xdr:cNvSpPr>
      </xdr:nvSpPr>
      <xdr:spPr>
        <a:xfrm>
          <a:off x="3800475" y="58674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47625</xdr:rowOff>
    </xdr:from>
    <xdr:to>
      <xdr:col>12</xdr:col>
      <xdr:colOff>666750</xdr:colOff>
      <xdr:row>4</xdr:row>
      <xdr:rowOff>171450</xdr:rowOff>
    </xdr:to>
    <xdr:sp>
      <xdr:nvSpPr>
        <xdr:cNvPr id="4" name="Text Box 5"/>
        <xdr:cNvSpPr txBox="1">
          <a:spLocks noChangeArrowheads="1"/>
        </xdr:cNvSpPr>
      </xdr:nvSpPr>
      <xdr:spPr>
        <a:xfrm>
          <a:off x="95250" y="47625"/>
          <a:ext cx="6038850" cy="111442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400" b="1" i="0" u="none" baseline="0">
              <a:solidFill>
                <a:srgbClr val="FF0000"/>
              </a:solidFill>
              <a:latin typeface="Arial"/>
              <a:ea typeface="Arial"/>
              <a:cs typeface="Arial"/>
            </a:rPr>
            <a:t>DO NOT CUT, COPY or PASTE CELLS anywhere in this application!</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200" b="1" i="0" u="none" baseline="0">
              <a:solidFill>
                <a:srgbClr val="000000"/>
              </a:solidFill>
              <a:latin typeface="Arial"/>
              <a:ea typeface="Arial"/>
              <a:cs typeface="Arial"/>
            </a:rPr>
            <a:t>If Print Area is lost  or prints this information box please highlight cells A6 thru N57 and Choose - File - Set Print Area from the menu bar.</a:t>
          </a:r>
          <a:r>
            <a:rPr lang="en-US" cap="none" sz="1200" b="1" i="0" u="none" baseline="0">
              <a:solidFill>
                <a:srgbClr val="3333CC"/>
              </a:solidFill>
              <a:latin typeface="Arial"/>
              <a:ea typeface="Arial"/>
              <a:cs typeface="Arial"/>
            </a:rPr>
            <a:t>
</a:t>
          </a:r>
        </a:p>
      </xdr:txBody>
    </xdr:sp>
    <xdr:clientData/>
  </xdr:twoCellAnchor>
  <xdr:twoCellAnchor>
    <xdr:from>
      <xdr:col>9</xdr:col>
      <xdr:colOff>276225</xdr:colOff>
      <xdr:row>27</xdr:row>
      <xdr:rowOff>9525</xdr:rowOff>
    </xdr:from>
    <xdr:to>
      <xdr:col>10</xdr:col>
      <xdr:colOff>0</xdr:colOff>
      <xdr:row>27</xdr:row>
      <xdr:rowOff>171450</xdr:rowOff>
    </xdr:to>
    <xdr:sp fLocksText="0">
      <xdr:nvSpPr>
        <xdr:cNvPr id="5" name="Text 4"/>
        <xdr:cNvSpPr txBox="1">
          <a:spLocks noChangeArrowheads="1"/>
        </xdr:cNvSpPr>
      </xdr:nvSpPr>
      <xdr:spPr>
        <a:xfrm>
          <a:off x="3800475" y="6181725"/>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xdr:row>
      <xdr:rowOff>228600</xdr:rowOff>
    </xdr:from>
    <xdr:to>
      <xdr:col>3</xdr:col>
      <xdr:colOff>238125</xdr:colOff>
      <xdr:row>8</xdr:row>
      <xdr:rowOff>390525</xdr:rowOff>
    </xdr:to>
    <xdr:pic>
      <xdr:nvPicPr>
        <xdr:cNvPr id="6" name="Picture 11"/>
        <xdr:cNvPicPr preferRelativeResize="1">
          <a:picLocks noChangeAspect="1"/>
        </xdr:cNvPicPr>
      </xdr:nvPicPr>
      <xdr:blipFill>
        <a:blip r:embed="rId1"/>
        <a:stretch>
          <a:fillRect/>
        </a:stretch>
      </xdr:blipFill>
      <xdr:spPr>
        <a:xfrm>
          <a:off x="38100" y="1219200"/>
          <a:ext cx="1219200" cy="1466850"/>
        </a:xfrm>
        <a:prstGeom prst="rect">
          <a:avLst/>
        </a:prstGeom>
        <a:noFill/>
        <a:ln w="9525" cmpd="sng">
          <a:noFill/>
        </a:ln>
      </xdr:spPr>
    </xdr:pic>
    <xdr:clientData/>
  </xdr:twoCellAnchor>
  <xdr:twoCellAnchor>
    <xdr:from>
      <xdr:col>9</xdr:col>
      <xdr:colOff>266700</xdr:colOff>
      <xdr:row>28</xdr:row>
      <xdr:rowOff>66675</xdr:rowOff>
    </xdr:from>
    <xdr:to>
      <xdr:col>9</xdr:col>
      <xdr:colOff>438150</xdr:colOff>
      <xdr:row>29</xdr:row>
      <xdr:rowOff>0</xdr:rowOff>
    </xdr:to>
    <xdr:sp fLocksText="0">
      <xdr:nvSpPr>
        <xdr:cNvPr id="7" name="Text 4"/>
        <xdr:cNvSpPr txBox="1">
          <a:spLocks noChangeArrowheads="1"/>
        </xdr:cNvSpPr>
      </xdr:nvSpPr>
      <xdr:spPr>
        <a:xfrm>
          <a:off x="3790950" y="645795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114300</xdr:rowOff>
    </xdr:from>
    <xdr:to>
      <xdr:col>8</xdr:col>
      <xdr:colOff>923925</xdr:colOff>
      <xdr:row>5</xdr:row>
      <xdr:rowOff>123825</xdr:rowOff>
    </xdr:to>
    <xdr:sp>
      <xdr:nvSpPr>
        <xdr:cNvPr id="1" name="Text Box 2"/>
        <xdr:cNvSpPr txBox="1">
          <a:spLocks noChangeArrowheads="1"/>
        </xdr:cNvSpPr>
      </xdr:nvSpPr>
      <xdr:spPr>
        <a:xfrm>
          <a:off x="190500" y="114300"/>
          <a:ext cx="8496300" cy="1200150"/>
        </a:xfrm>
        <a:prstGeom prst="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DO NOT CUT, COPY or PASTE CELLS anywhere in this application!</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200" b="1" i="0" u="none" baseline="0">
              <a:solidFill>
                <a:srgbClr val="000000"/>
              </a:solidFill>
              <a:latin typeface="Arial"/>
              <a:ea typeface="Arial"/>
              <a:cs typeface="Arial"/>
            </a:rPr>
            <a:t>If Print Area is lost  or prints this information box please highlight cells A-7 thru I-47 and Choose - File - Set Print Area from the menu bar.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14</xdr:row>
      <xdr:rowOff>104775</xdr:rowOff>
    </xdr:from>
    <xdr:to>
      <xdr:col>0</xdr:col>
      <xdr:colOff>57150</xdr:colOff>
      <xdr:row>15</xdr:row>
      <xdr:rowOff>0</xdr:rowOff>
    </xdr:to>
    <xdr:sp>
      <xdr:nvSpPr>
        <xdr:cNvPr id="1" name="Text 15"/>
        <xdr:cNvSpPr txBox="1">
          <a:spLocks noChangeArrowheads="1"/>
        </xdr:cNvSpPr>
      </xdr:nvSpPr>
      <xdr:spPr>
        <a:xfrm>
          <a:off x="57150" y="5048250"/>
          <a:ext cx="0"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LU</a:t>
          </a:r>
        </a:p>
      </xdr:txBody>
    </xdr:sp>
    <xdr:clientData/>
  </xdr:twoCellAnchor>
  <xdr:twoCellAnchor>
    <xdr:from>
      <xdr:col>0</xdr:col>
      <xdr:colOff>38100</xdr:colOff>
      <xdr:row>0</xdr:row>
      <xdr:rowOff>104775</xdr:rowOff>
    </xdr:from>
    <xdr:to>
      <xdr:col>16</xdr:col>
      <xdr:colOff>514350</xdr:colOff>
      <xdr:row>0</xdr:row>
      <xdr:rowOff>409575</xdr:rowOff>
    </xdr:to>
    <xdr:sp>
      <xdr:nvSpPr>
        <xdr:cNvPr id="2" name="Text Box 16"/>
        <xdr:cNvSpPr txBox="1">
          <a:spLocks noChangeArrowheads="1"/>
        </xdr:cNvSpPr>
      </xdr:nvSpPr>
      <xdr:spPr>
        <a:xfrm>
          <a:off x="38100" y="104775"/>
          <a:ext cx="6772275" cy="304800"/>
        </a:xfrm>
        <a:prstGeom prst="rect">
          <a:avLst/>
        </a:prstGeom>
        <a:solidFill>
          <a:srgbClr val="FFFF00"/>
        </a:solidFill>
        <a:ln w="9525" cmpd="sng">
          <a:solidFill>
            <a:srgbClr val="000000"/>
          </a:solidFill>
          <a:headEnd type="none"/>
          <a:tailEnd type="none"/>
        </a:ln>
      </xdr:spPr>
      <xdr:txBody>
        <a:bodyPr vertOverflow="clip" wrap="square" lIns="36576" tIns="32004" rIns="0" bIns="32004" anchor="ctr"/>
        <a:p>
          <a:pPr algn="l">
            <a:defRPr/>
          </a:pPr>
          <a:r>
            <a:rPr lang="en-US" cap="none" sz="1600" b="1" i="0" u="none" baseline="0">
              <a:solidFill>
                <a:srgbClr val="FF0000"/>
              </a:solidFill>
              <a:latin typeface="Arial"/>
              <a:ea typeface="Arial"/>
              <a:cs typeface="Arial"/>
            </a:rPr>
            <a:t>DO NOT CUT, COPY or PASTE CELLS anywhere in this application!</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p>
      </xdr:txBody>
    </xdr:sp>
    <xdr:clientData/>
  </xdr:twoCellAnchor>
  <xdr:twoCellAnchor>
    <xdr:from>
      <xdr:col>0</xdr:col>
      <xdr:colOff>38100</xdr:colOff>
      <xdr:row>1</xdr:row>
      <xdr:rowOff>0</xdr:rowOff>
    </xdr:from>
    <xdr:to>
      <xdr:col>16</xdr:col>
      <xdr:colOff>552450</xdr:colOff>
      <xdr:row>1</xdr:row>
      <xdr:rowOff>352425</xdr:rowOff>
    </xdr:to>
    <xdr:sp>
      <xdr:nvSpPr>
        <xdr:cNvPr id="3" name="Text Box 17"/>
        <xdr:cNvSpPr txBox="1">
          <a:spLocks noChangeArrowheads="1"/>
        </xdr:cNvSpPr>
      </xdr:nvSpPr>
      <xdr:spPr>
        <a:xfrm>
          <a:off x="38100" y="504825"/>
          <a:ext cx="6810375" cy="352425"/>
        </a:xfrm>
        <a:prstGeom prst="rect">
          <a:avLst/>
        </a:prstGeom>
        <a:solidFill>
          <a:srgbClr val="FFFF00"/>
        </a:solidFill>
        <a:ln w="9525" cmpd="sng">
          <a:solidFill>
            <a:srgbClr val="000000"/>
          </a:solidFill>
          <a:headEnd type="none"/>
          <a:tailEnd type="none"/>
        </a:ln>
      </xdr:spPr>
      <xdr:txBody>
        <a:bodyPr vertOverflow="clip" wrap="square" lIns="36576" tIns="32004" rIns="0" bIns="32004" anchor="ctr"/>
        <a:p>
          <a:pPr algn="l">
            <a:defRPr/>
          </a:pPr>
          <a:r>
            <a:rPr lang="en-US" cap="none" sz="1600" b="1" i="0" u="none" baseline="0">
              <a:solidFill>
                <a:srgbClr val="0000FF"/>
              </a:solidFill>
              <a:latin typeface="Arial"/>
              <a:ea typeface="Arial"/>
              <a:cs typeface="Arial"/>
            </a:rPr>
            <a:t>Area Score should be shown as a Caps On Score!</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p>
      </xdr:txBody>
    </xdr:sp>
    <xdr:clientData/>
  </xdr:twoCellAnchor>
  <xdr:twoCellAnchor>
    <xdr:from>
      <xdr:col>1</xdr:col>
      <xdr:colOff>9525</xdr:colOff>
      <xdr:row>3</xdr:row>
      <xdr:rowOff>485775</xdr:rowOff>
    </xdr:from>
    <xdr:to>
      <xdr:col>53</xdr:col>
      <xdr:colOff>9525</xdr:colOff>
      <xdr:row>5</xdr:row>
      <xdr:rowOff>123825</xdr:rowOff>
    </xdr:to>
    <xdr:sp>
      <xdr:nvSpPr>
        <xdr:cNvPr id="4" name="Text Box 22"/>
        <xdr:cNvSpPr txBox="1">
          <a:spLocks noChangeArrowheads="1"/>
        </xdr:cNvSpPr>
      </xdr:nvSpPr>
      <xdr:spPr>
        <a:xfrm>
          <a:off x="66675" y="2000250"/>
          <a:ext cx="7477125" cy="6477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If Print Area is lost or prints this information box please highlight cells A7 thru Q55 and Choose - File - Set Print Area from the menu bar.</a:t>
          </a:r>
        </a:p>
      </xdr:txBody>
    </xdr:sp>
    <xdr:clientData/>
  </xdr:twoCellAnchor>
  <xdr:twoCellAnchor>
    <xdr:from>
      <xdr:col>1</xdr:col>
      <xdr:colOff>0</xdr:colOff>
      <xdr:row>2</xdr:row>
      <xdr:rowOff>0</xdr:rowOff>
    </xdr:from>
    <xdr:to>
      <xdr:col>16</xdr:col>
      <xdr:colOff>552450</xdr:colOff>
      <xdr:row>3</xdr:row>
      <xdr:rowOff>276225</xdr:rowOff>
    </xdr:to>
    <xdr:sp>
      <xdr:nvSpPr>
        <xdr:cNvPr id="5" name="Text Box 41"/>
        <xdr:cNvSpPr txBox="1">
          <a:spLocks noChangeArrowheads="1"/>
        </xdr:cNvSpPr>
      </xdr:nvSpPr>
      <xdr:spPr>
        <a:xfrm>
          <a:off x="57150" y="1009650"/>
          <a:ext cx="6791325" cy="781050"/>
        </a:xfrm>
        <a:prstGeom prst="rect">
          <a:avLst/>
        </a:prstGeom>
        <a:solidFill>
          <a:srgbClr val="FFFF00"/>
        </a:solidFill>
        <a:ln w="9525" cmpd="sng">
          <a:solidFill>
            <a:srgbClr val="000000"/>
          </a:solidFill>
          <a:headEnd type="none"/>
          <a:tailEnd type="none"/>
        </a:ln>
      </xdr:spPr>
      <xdr:txBody>
        <a:bodyPr vertOverflow="clip" wrap="square" lIns="36576" tIns="27432" rIns="0" bIns="27432" anchor="ctr"/>
        <a:p>
          <a:pPr algn="l">
            <a:defRPr/>
          </a:pPr>
          <a:r>
            <a:rPr lang="en-US" cap="none" sz="1400" b="1" i="0" u="none" baseline="0">
              <a:solidFill>
                <a:srgbClr val="000000"/>
              </a:solidFill>
              <a:latin typeface="Arial"/>
              <a:ea typeface="Arial"/>
              <a:cs typeface="Arial"/>
            </a:rPr>
            <a:t>Applicant/Advisor should calculate the score for Scope for each year using the State Degree Handbook and type it it the Local Use Box.  The application will calculate the Scope and Growth Score based upon these values.</a:t>
          </a:r>
          <a:r>
            <a:rPr lang="en-US" cap="none" sz="1400" b="1"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6</xdr:row>
      <xdr:rowOff>0</xdr:rowOff>
    </xdr:from>
    <xdr:to>
      <xdr:col>4</xdr:col>
      <xdr:colOff>247650</xdr:colOff>
      <xdr:row>6</xdr:row>
      <xdr:rowOff>0</xdr:rowOff>
    </xdr:to>
    <xdr:sp>
      <xdr:nvSpPr>
        <xdr:cNvPr id="1" name="Text 14"/>
        <xdr:cNvSpPr txBox="1">
          <a:spLocks noChangeArrowheads="1"/>
        </xdr:cNvSpPr>
      </xdr:nvSpPr>
      <xdr:spPr>
        <a:xfrm>
          <a:off x="1971675" y="2571750"/>
          <a:ext cx="0" cy="0"/>
        </a:xfrm>
        <a:prstGeom prst="rect">
          <a:avLst/>
        </a:prstGeom>
        <a:solidFill>
          <a:srgbClr val="E3E3E3"/>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SU</a:t>
          </a:r>
        </a:p>
      </xdr:txBody>
    </xdr:sp>
    <xdr:clientData/>
  </xdr:twoCellAnchor>
  <xdr:twoCellAnchor>
    <xdr:from>
      <xdr:col>0</xdr:col>
      <xdr:colOff>38100</xdr:colOff>
      <xdr:row>0</xdr:row>
      <xdr:rowOff>66675</xdr:rowOff>
    </xdr:from>
    <xdr:to>
      <xdr:col>15</xdr:col>
      <xdr:colOff>552450</xdr:colOff>
      <xdr:row>1</xdr:row>
      <xdr:rowOff>114300</xdr:rowOff>
    </xdr:to>
    <xdr:sp>
      <xdr:nvSpPr>
        <xdr:cNvPr id="2" name="Text Box 16"/>
        <xdr:cNvSpPr txBox="1">
          <a:spLocks noChangeArrowheads="1"/>
        </xdr:cNvSpPr>
      </xdr:nvSpPr>
      <xdr:spPr>
        <a:xfrm>
          <a:off x="38100" y="66675"/>
          <a:ext cx="6686550" cy="476250"/>
        </a:xfrm>
        <a:prstGeom prst="rect">
          <a:avLst/>
        </a:prstGeom>
        <a:solidFill>
          <a:srgbClr val="FFFF00"/>
        </a:solidFill>
        <a:ln w="9525" cmpd="sng">
          <a:solidFill>
            <a:srgbClr val="000000"/>
          </a:solidFill>
          <a:headEnd type="none"/>
          <a:tailEnd type="none"/>
        </a:ln>
      </xdr:spPr>
      <xdr:txBody>
        <a:bodyPr vertOverflow="clip" wrap="square" lIns="91440" tIns="137160" rIns="91440" bIns="45720"/>
        <a:p>
          <a:pPr algn="l">
            <a:defRPr/>
          </a:pPr>
          <a:r>
            <a:rPr lang="en-US" cap="none" sz="1600" b="1" i="0" u="none" baseline="0">
              <a:solidFill>
                <a:srgbClr val="FF0000"/>
              </a:solidFill>
              <a:latin typeface="Arial"/>
              <a:ea typeface="Arial"/>
              <a:cs typeface="Arial"/>
            </a:rPr>
            <a:t>DO NOT CUT, COPY or PASTE CELLS anywhere in this application!</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p>
      </xdr:txBody>
    </xdr:sp>
    <xdr:clientData/>
  </xdr:twoCellAnchor>
  <xdr:twoCellAnchor>
    <xdr:from>
      <xdr:col>0</xdr:col>
      <xdr:colOff>66675</xdr:colOff>
      <xdr:row>1</xdr:row>
      <xdr:rowOff>200025</xdr:rowOff>
    </xdr:from>
    <xdr:to>
      <xdr:col>15</xdr:col>
      <xdr:colOff>590550</xdr:colOff>
      <xdr:row>2</xdr:row>
      <xdr:rowOff>190500</xdr:rowOff>
    </xdr:to>
    <xdr:sp>
      <xdr:nvSpPr>
        <xdr:cNvPr id="3" name="Text Box 17"/>
        <xdr:cNvSpPr txBox="1">
          <a:spLocks noChangeArrowheads="1"/>
        </xdr:cNvSpPr>
      </xdr:nvSpPr>
      <xdr:spPr>
        <a:xfrm>
          <a:off x="66675" y="628650"/>
          <a:ext cx="6696075" cy="419100"/>
        </a:xfrm>
        <a:prstGeom prst="rect">
          <a:avLst/>
        </a:prstGeom>
        <a:solidFill>
          <a:srgbClr val="FFFF00"/>
        </a:solidFill>
        <a:ln w="9525" cmpd="sng">
          <a:solidFill>
            <a:srgbClr val="000000"/>
          </a:solidFill>
          <a:headEnd type="none"/>
          <a:tailEnd type="none"/>
        </a:ln>
      </xdr:spPr>
      <xdr:txBody>
        <a:bodyPr vertOverflow="clip" wrap="square" lIns="91440" tIns="91440" rIns="91440" bIns="45720"/>
        <a:p>
          <a:pPr algn="l">
            <a:defRPr/>
          </a:pPr>
          <a:r>
            <a:rPr lang="en-US" cap="none" sz="1600" b="1" i="0" u="none" baseline="0">
              <a:solidFill>
                <a:srgbClr val="0000FF"/>
              </a:solidFill>
              <a:latin typeface="Arial"/>
              <a:ea typeface="Arial"/>
              <a:cs typeface="Arial"/>
            </a:rPr>
            <a:t>Area Score should be shown as a Caps On Score!</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p>
      </xdr:txBody>
    </xdr:sp>
    <xdr:clientData/>
  </xdr:twoCellAnchor>
  <xdr:twoCellAnchor>
    <xdr:from>
      <xdr:col>0</xdr:col>
      <xdr:colOff>76200</xdr:colOff>
      <xdr:row>4</xdr:row>
      <xdr:rowOff>9525</xdr:rowOff>
    </xdr:from>
    <xdr:to>
      <xdr:col>15</xdr:col>
      <xdr:colOff>628650</xdr:colOff>
      <xdr:row>5</xdr:row>
      <xdr:rowOff>190500</xdr:rowOff>
    </xdr:to>
    <xdr:sp>
      <xdr:nvSpPr>
        <xdr:cNvPr id="4" name="Text Box 22"/>
        <xdr:cNvSpPr txBox="1">
          <a:spLocks noChangeArrowheads="1"/>
        </xdr:cNvSpPr>
      </xdr:nvSpPr>
      <xdr:spPr>
        <a:xfrm>
          <a:off x="76200" y="1724025"/>
          <a:ext cx="6724650" cy="609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If Print Area is lost or prints this information box please highlight cells A7 thru P44 and Choose - File - Set Print Area from the menu bar.</a:t>
          </a:r>
        </a:p>
      </xdr:txBody>
    </xdr:sp>
    <xdr:clientData/>
  </xdr:twoCellAnchor>
  <xdr:twoCellAnchor>
    <xdr:from>
      <xdr:col>0</xdr:col>
      <xdr:colOff>95250</xdr:colOff>
      <xdr:row>2</xdr:row>
      <xdr:rowOff>314325</xdr:rowOff>
    </xdr:from>
    <xdr:to>
      <xdr:col>15</xdr:col>
      <xdr:colOff>619125</xdr:colOff>
      <xdr:row>3</xdr:row>
      <xdr:rowOff>314325</xdr:rowOff>
    </xdr:to>
    <xdr:sp>
      <xdr:nvSpPr>
        <xdr:cNvPr id="5" name="Text Box 27"/>
        <xdr:cNvSpPr txBox="1">
          <a:spLocks noChangeArrowheads="1"/>
        </xdr:cNvSpPr>
      </xdr:nvSpPr>
      <xdr:spPr>
        <a:xfrm>
          <a:off x="95250" y="1171575"/>
          <a:ext cx="6696075" cy="428625"/>
        </a:xfrm>
        <a:prstGeom prst="rect">
          <a:avLst/>
        </a:prstGeom>
        <a:solidFill>
          <a:srgbClr val="FFFF00"/>
        </a:solidFill>
        <a:ln w="9525" cmpd="sng">
          <a:solidFill>
            <a:srgbClr val="000000"/>
          </a:solidFill>
          <a:headEnd type="none"/>
          <a:tailEnd type="none"/>
        </a:ln>
      </xdr:spPr>
      <xdr:txBody>
        <a:bodyPr vertOverflow="clip" wrap="square" lIns="91440" tIns="91440" rIns="91440" bIns="45720"/>
        <a:p>
          <a:pPr algn="l">
            <a:defRPr/>
          </a:pPr>
          <a:r>
            <a:rPr lang="en-US" cap="none" sz="1600" b="1" i="0" u="none" baseline="0">
              <a:solidFill>
                <a:srgbClr val="000000"/>
              </a:solidFill>
              <a:latin typeface="Arial"/>
              <a:ea typeface="Arial"/>
              <a:cs typeface="Arial"/>
            </a:rPr>
            <a:t>Round numbers to the closest whole number when entering HOURS!</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2143125</xdr:colOff>
      <xdr:row>3</xdr:row>
      <xdr:rowOff>85725</xdr:rowOff>
    </xdr:to>
    <xdr:sp>
      <xdr:nvSpPr>
        <xdr:cNvPr id="1" name="Text Box 4"/>
        <xdr:cNvSpPr txBox="1">
          <a:spLocks noChangeArrowheads="1"/>
        </xdr:cNvSpPr>
      </xdr:nvSpPr>
      <xdr:spPr>
        <a:xfrm>
          <a:off x="57150" y="190500"/>
          <a:ext cx="6115050" cy="54292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600" b="1" i="0" u="none" baseline="0">
              <a:solidFill>
                <a:srgbClr val="0000FF"/>
              </a:solidFill>
              <a:latin typeface="Arial"/>
              <a:ea typeface="Arial"/>
              <a:cs typeface="Arial"/>
            </a:rPr>
            <a:t>  </a:t>
          </a:r>
          <a:r>
            <a:rPr lang="en-US" cap="none" sz="1600" b="1" i="0" u="none" baseline="0">
              <a:solidFill>
                <a:srgbClr val="FF0000"/>
              </a:solidFill>
              <a:latin typeface="Arial"/>
              <a:ea typeface="Arial"/>
              <a:cs typeface="Arial"/>
            </a:rPr>
            <a:t>DO NOT CUT, COPY or PASTE CELLS!</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600" b="1" i="0" u="none" baseline="0">
              <a:solidFill>
                <a:srgbClr val="3333CC"/>
              </a:solidFill>
              <a:latin typeface="Arial"/>
              <a:ea typeface="Arial"/>
              <a:cs typeface="Arial"/>
            </a:rPr>
            <a:t>DO NOT USE THE SPACE BAR TO DELETE CELL ENTRIES!</a:t>
          </a:r>
          <a:r>
            <a:rPr lang="en-US" cap="none" sz="1200" b="1" i="0" u="none" baseline="0">
              <a:solidFill>
                <a:srgbClr val="3333CC"/>
              </a:solidFill>
              <a:latin typeface="Arial"/>
              <a:ea typeface="Arial"/>
              <a:cs typeface="Arial"/>
            </a:rPr>
            <a:t>
</a:t>
          </a:r>
        </a:p>
      </xdr:txBody>
    </xdr:sp>
    <xdr:clientData/>
  </xdr:twoCellAnchor>
  <xdr:twoCellAnchor>
    <xdr:from>
      <xdr:col>1</xdr:col>
      <xdr:colOff>0</xdr:colOff>
      <xdr:row>4</xdr:row>
      <xdr:rowOff>0</xdr:rowOff>
    </xdr:from>
    <xdr:to>
      <xdr:col>5</xdr:col>
      <xdr:colOff>2333625</xdr:colOff>
      <xdr:row>5</xdr:row>
      <xdr:rowOff>219075</xdr:rowOff>
    </xdr:to>
    <xdr:sp>
      <xdr:nvSpPr>
        <xdr:cNvPr id="2" name="Text Box 12"/>
        <xdr:cNvSpPr txBox="1">
          <a:spLocks noChangeArrowheads="1"/>
        </xdr:cNvSpPr>
      </xdr:nvSpPr>
      <xdr:spPr>
        <a:xfrm>
          <a:off x="57150" y="914400"/>
          <a:ext cx="6305550" cy="485775"/>
        </a:xfrm>
        <a:prstGeom prst="rect">
          <a:avLst/>
        </a:prstGeom>
        <a:solidFill>
          <a:srgbClr val="CC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If Print Area is lost or prints this information box please highlight cells A9 thru F37 and Choose - File - Set Print Area from the menu bar.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2143125</xdr:colOff>
      <xdr:row>3</xdr:row>
      <xdr:rowOff>142875</xdr:rowOff>
    </xdr:to>
    <xdr:sp>
      <xdr:nvSpPr>
        <xdr:cNvPr id="1" name="Text Box 4"/>
        <xdr:cNvSpPr txBox="1">
          <a:spLocks noChangeArrowheads="1"/>
        </xdr:cNvSpPr>
      </xdr:nvSpPr>
      <xdr:spPr>
        <a:xfrm>
          <a:off x="57150" y="190500"/>
          <a:ext cx="6181725" cy="52387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600" b="1" i="0" u="none" baseline="0">
              <a:solidFill>
                <a:srgbClr val="0000FF"/>
              </a:solidFill>
              <a:latin typeface="Arial"/>
              <a:ea typeface="Arial"/>
              <a:cs typeface="Arial"/>
            </a:rPr>
            <a:t>  </a:t>
          </a:r>
          <a:r>
            <a:rPr lang="en-US" cap="none" sz="1600" b="1" i="0" u="none" baseline="0">
              <a:solidFill>
                <a:srgbClr val="FF0000"/>
              </a:solidFill>
              <a:latin typeface="Arial"/>
              <a:ea typeface="Arial"/>
              <a:cs typeface="Arial"/>
            </a:rPr>
            <a:t>DO NOT CUT, COPY or PASTE CELLS!</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600" b="1" i="0" u="none" baseline="0">
              <a:solidFill>
                <a:srgbClr val="3333CC"/>
              </a:solidFill>
              <a:latin typeface="Arial"/>
              <a:ea typeface="Arial"/>
              <a:cs typeface="Arial"/>
            </a:rPr>
            <a:t>DO NOT USE THE SPACE BAR TO DELETE CELL ENTRIES!</a:t>
          </a:r>
          <a:r>
            <a:rPr lang="en-US" cap="none" sz="1200" b="1" i="0" u="none" baseline="0">
              <a:solidFill>
                <a:srgbClr val="3333CC"/>
              </a:solidFill>
              <a:latin typeface="Arial"/>
              <a:ea typeface="Arial"/>
              <a:cs typeface="Arial"/>
            </a:rPr>
            <a:t>
</a:t>
          </a:r>
        </a:p>
      </xdr:txBody>
    </xdr:sp>
    <xdr:clientData/>
  </xdr:twoCellAnchor>
  <xdr:twoCellAnchor>
    <xdr:from>
      <xdr:col>1</xdr:col>
      <xdr:colOff>0</xdr:colOff>
      <xdr:row>5</xdr:row>
      <xdr:rowOff>0</xdr:rowOff>
    </xdr:from>
    <xdr:to>
      <xdr:col>5</xdr:col>
      <xdr:colOff>2333625</xdr:colOff>
      <xdr:row>7</xdr:row>
      <xdr:rowOff>123825</xdr:rowOff>
    </xdr:to>
    <xdr:sp>
      <xdr:nvSpPr>
        <xdr:cNvPr id="2" name="Text Box 12"/>
        <xdr:cNvSpPr txBox="1">
          <a:spLocks noChangeArrowheads="1"/>
        </xdr:cNvSpPr>
      </xdr:nvSpPr>
      <xdr:spPr>
        <a:xfrm>
          <a:off x="57150" y="895350"/>
          <a:ext cx="6372225" cy="476250"/>
        </a:xfrm>
        <a:prstGeom prst="rect">
          <a:avLst/>
        </a:prstGeom>
        <a:solidFill>
          <a:srgbClr val="CC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If Print Area is lost or prints this information box please highlight cells A10 thru F58 and Choose - File - Set Print Area from the menu bar.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123825</xdr:rowOff>
    </xdr:from>
    <xdr:to>
      <xdr:col>8</xdr:col>
      <xdr:colOff>228600</xdr:colOff>
      <xdr:row>2</xdr:row>
      <xdr:rowOff>200025</xdr:rowOff>
    </xdr:to>
    <xdr:sp>
      <xdr:nvSpPr>
        <xdr:cNvPr id="1" name="Text Box 4"/>
        <xdr:cNvSpPr txBox="1">
          <a:spLocks noChangeArrowheads="1"/>
        </xdr:cNvSpPr>
      </xdr:nvSpPr>
      <xdr:spPr>
        <a:xfrm>
          <a:off x="171450" y="123825"/>
          <a:ext cx="6286500" cy="53340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600" b="1" i="0" u="none" baseline="0">
              <a:solidFill>
                <a:srgbClr val="0000FF"/>
              </a:solidFill>
              <a:latin typeface="Arial"/>
              <a:ea typeface="Arial"/>
              <a:cs typeface="Arial"/>
            </a:rPr>
            <a:t>  </a:t>
          </a:r>
          <a:r>
            <a:rPr lang="en-US" cap="none" sz="1600" b="1" i="0" u="none" baseline="0">
              <a:solidFill>
                <a:srgbClr val="FF0000"/>
              </a:solidFill>
              <a:latin typeface="Arial"/>
              <a:ea typeface="Arial"/>
              <a:cs typeface="Arial"/>
            </a:rPr>
            <a:t>DO NOT CUT, COPY or PASTE CELLS!</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600" b="1" i="0" u="none" baseline="0">
              <a:solidFill>
                <a:srgbClr val="3333CC"/>
              </a:solidFill>
              <a:latin typeface="Arial"/>
              <a:ea typeface="Arial"/>
              <a:cs typeface="Arial"/>
            </a:rPr>
            <a:t>DO NOT USE THE SPACE BAR TO DELETE CELL ENTRIES!</a:t>
          </a:r>
          <a:r>
            <a:rPr lang="en-US" cap="none" sz="1200" b="1" i="0" u="none" baseline="0">
              <a:solidFill>
                <a:srgbClr val="3333CC"/>
              </a:solidFill>
              <a:latin typeface="Arial"/>
              <a:ea typeface="Arial"/>
              <a:cs typeface="Arial"/>
            </a:rPr>
            <a:t>
</a:t>
          </a:r>
        </a:p>
      </xdr:txBody>
    </xdr:sp>
    <xdr:clientData/>
  </xdr:twoCellAnchor>
  <xdr:twoCellAnchor>
    <xdr:from>
      <xdr:col>0</xdr:col>
      <xdr:colOff>209550</xdr:colOff>
      <xdr:row>3</xdr:row>
      <xdr:rowOff>66675</xdr:rowOff>
    </xdr:from>
    <xdr:to>
      <xdr:col>9</xdr:col>
      <xdr:colOff>19050</xdr:colOff>
      <xdr:row>5</xdr:row>
      <xdr:rowOff>95250</xdr:rowOff>
    </xdr:to>
    <xdr:sp>
      <xdr:nvSpPr>
        <xdr:cNvPr id="2" name="Text Box 12"/>
        <xdr:cNvSpPr txBox="1">
          <a:spLocks noChangeArrowheads="1"/>
        </xdr:cNvSpPr>
      </xdr:nvSpPr>
      <xdr:spPr>
        <a:xfrm>
          <a:off x="209550" y="752475"/>
          <a:ext cx="6600825" cy="485775"/>
        </a:xfrm>
        <a:prstGeom prst="rect">
          <a:avLst/>
        </a:prstGeom>
        <a:solidFill>
          <a:srgbClr val="CC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If Print Area is lost or prints this information box please highlight cells A7 thru I 42 and Choose - File - Set Print Area from the menu bar.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57150</xdr:rowOff>
    </xdr:from>
    <xdr:to>
      <xdr:col>10</xdr:col>
      <xdr:colOff>0</xdr:colOff>
      <xdr:row>4</xdr:row>
      <xdr:rowOff>57150</xdr:rowOff>
    </xdr:to>
    <xdr:sp>
      <xdr:nvSpPr>
        <xdr:cNvPr id="1" name="Text Box 5"/>
        <xdr:cNvSpPr txBox="1">
          <a:spLocks noChangeArrowheads="1"/>
        </xdr:cNvSpPr>
      </xdr:nvSpPr>
      <xdr:spPr>
        <a:xfrm>
          <a:off x="285750" y="247650"/>
          <a:ext cx="6219825" cy="57150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600" b="1" i="0" u="none" baseline="0">
              <a:solidFill>
                <a:srgbClr val="0000FF"/>
              </a:solidFill>
              <a:latin typeface="Arial"/>
              <a:ea typeface="Arial"/>
              <a:cs typeface="Arial"/>
            </a:rPr>
            <a:t>  </a:t>
          </a:r>
          <a:r>
            <a:rPr lang="en-US" cap="none" sz="1600" b="1" i="0" u="none" baseline="0">
              <a:solidFill>
                <a:srgbClr val="FF0000"/>
              </a:solidFill>
              <a:latin typeface="Arial"/>
              <a:ea typeface="Arial"/>
              <a:cs typeface="Arial"/>
            </a:rPr>
            <a:t>DO NOT CUT, COPY or PASTE CELLS!</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600" b="1" i="0" u="none" baseline="0">
              <a:solidFill>
                <a:srgbClr val="3333CC"/>
              </a:solidFill>
              <a:latin typeface="Arial"/>
              <a:ea typeface="Arial"/>
              <a:cs typeface="Arial"/>
            </a:rPr>
            <a:t>DO NOT USE THE SPACE BAR TO DELETE CELL ENTRIES!</a:t>
          </a:r>
          <a:r>
            <a:rPr lang="en-US" cap="none" sz="1200" b="1" i="0" u="none" baseline="0">
              <a:solidFill>
                <a:srgbClr val="3333CC"/>
              </a:solidFill>
              <a:latin typeface="Arial"/>
              <a:ea typeface="Arial"/>
              <a:cs typeface="Arial"/>
            </a:rPr>
            <a:t>
</a:t>
          </a:r>
        </a:p>
      </xdr:txBody>
    </xdr:sp>
    <xdr:clientData/>
  </xdr:twoCellAnchor>
  <xdr:twoCellAnchor>
    <xdr:from>
      <xdr:col>0</xdr:col>
      <xdr:colOff>257175</xdr:colOff>
      <xdr:row>5</xdr:row>
      <xdr:rowOff>104775</xdr:rowOff>
    </xdr:from>
    <xdr:to>
      <xdr:col>9</xdr:col>
      <xdr:colOff>190500</xdr:colOff>
      <xdr:row>7</xdr:row>
      <xdr:rowOff>123825</xdr:rowOff>
    </xdr:to>
    <xdr:sp>
      <xdr:nvSpPr>
        <xdr:cNvPr id="2" name="Text Box 10"/>
        <xdr:cNvSpPr txBox="1">
          <a:spLocks noChangeArrowheads="1"/>
        </xdr:cNvSpPr>
      </xdr:nvSpPr>
      <xdr:spPr>
        <a:xfrm>
          <a:off x="257175" y="1057275"/>
          <a:ext cx="5972175" cy="400050"/>
        </a:xfrm>
        <a:prstGeom prst="rect">
          <a:avLst/>
        </a:prstGeom>
        <a:solidFill>
          <a:srgbClr val="CC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If Print Area is lost or prints this information box please highlight cells A9 thru J44 and Choose - File - Set Print Area from the menu bar.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B1:J69"/>
  <sheetViews>
    <sheetView showGridLines="0" tabSelected="1" zoomScalePageLayoutView="0" workbookViewId="0" topLeftCell="A1">
      <selection activeCell="B1" sqref="B1"/>
    </sheetView>
  </sheetViews>
  <sheetFormatPr defaultColWidth="9.140625" defaultRowHeight="12.75"/>
  <cols>
    <col min="1" max="1" width="1.7109375" style="1" customWidth="1"/>
    <col min="2" max="6" width="9.140625" style="1" customWidth="1"/>
    <col min="7" max="7" width="14.421875" style="1" bestFit="1" customWidth="1"/>
    <col min="8" max="9" width="9.140625" style="1" customWidth="1"/>
    <col min="10" max="10" width="9.57421875" style="1" customWidth="1"/>
    <col min="11" max="16384" width="9.140625" style="1" customWidth="1"/>
  </cols>
  <sheetData>
    <row r="1" spans="2:10" ht="23.25">
      <c r="B1" s="640" t="s">
        <v>1163</v>
      </c>
      <c r="C1" s="631"/>
      <c r="D1" s="631"/>
      <c r="E1" s="631"/>
      <c r="F1" s="631"/>
      <c r="G1" s="631"/>
      <c r="H1" s="631"/>
      <c r="I1" s="631"/>
      <c r="J1" s="631"/>
    </row>
    <row r="2" spans="2:10" ht="12.75" customHeight="1">
      <c r="B2" s="640"/>
      <c r="C2" s="631"/>
      <c r="D2" s="631"/>
      <c r="E2" s="631"/>
      <c r="F2" s="631"/>
      <c r="G2" s="631"/>
      <c r="H2" s="631"/>
      <c r="I2" s="631"/>
      <c r="J2" s="631"/>
    </row>
    <row r="3" ht="9.75" customHeight="1"/>
    <row r="4" ht="12.75">
      <c r="B4" s="632" t="s">
        <v>0</v>
      </c>
    </row>
    <row r="5" ht="9.75" customHeight="1">
      <c r="B5" s="632"/>
    </row>
    <row r="6" ht="12.75">
      <c r="B6" s="632" t="s">
        <v>1</v>
      </c>
    </row>
    <row r="7" ht="9.75" customHeight="1">
      <c r="B7" s="632"/>
    </row>
    <row r="8" ht="12.75">
      <c r="B8" s="632" t="s">
        <v>2</v>
      </c>
    </row>
    <row r="9" ht="9.75" customHeight="1">
      <c r="B9" s="632"/>
    </row>
    <row r="10" ht="12.75">
      <c r="B10" s="632" t="s">
        <v>3</v>
      </c>
    </row>
    <row r="11" ht="9.75" customHeight="1">
      <c r="B11" s="632"/>
    </row>
    <row r="12" spans="2:7" ht="12.75">
      <c r="B12" s="637" t="s">
        <v>718</v>
      </c>
      <c r="C12" s="638"/>
      <c r="D12" s="638"/>
      <c r="E12" s="638"/>
      <c r="F12" s="638"/>
      <c r="G12" s="638"/>
    </row>
    <row r="13" spans="2:7" ht="9.75" customHeight="1">
      <c r="B13" s="736"/>
      <c r="C13" s="737"/>
      <c r="D13" s="737"/>
      <c r="E13" s="737"/>
      <c r="F13" s="737"/>
      <c r="G13" s="737"/>
    </row>
    <row r="14" spans="2:10" ht="12.75">
      <c r="B14" s="738" t="s">
        <v>1429</v>
      </c>
      <c r="C14" s="638"/>
      <c r="D14" s="638"/>
      <c r="E14" s="638"/>
      <c r="F14" s="638"/>
      <c r="G14" s="638"/>
      <c r="H14" s="739"/>
      <c r="I14" s="739"/>
      <c r="J14" s="739"/>
    </row>
    <row r="16" ht="15.75">
      <c r="B16" s="633" t="s">
        <v>4</v>
      </c>
    </row>
    <row r="18" ht="12.75">
      <c r="B18" s="237" t="s">
        <v>1157</v>
      </c>
    </row>
    <row r="19" ht="9.75" customHeight="1"/>
    <row r="20" ht="12.75">
      <c r="B20" s="237" t="s">
        <v>1156</v>
      </c>
    </row>
    <row r="21" ht="9.75" customHeight="1"/>
    <row r="22" ht="12.75">
      <c r="B22" s="639" t="s">
        <v>1155</v>
      </c>
    </row>
    <row r="24" ht="15.75">
      <c r="B24" s="633" t="s">
        <v>6</v>
      </c>
    </row>
    <row r="25" ht="15.75">
      <c r="B25" s="633"/>
    </row>
    <row r="26" ht="12.75">
      <c r="B26" s="632" t="s">
        <v>7</v>
      </c>
    </row>
    <row r="27" ht="12.75">
      <c r="B27" s="632" t="s">
        <v>8</v>
      </c>
    </row>
    <row r="28" ht="9.75" customHeight="1">
      <c r="B28" s="632"/>
    </row>
    <row r="29" ht="12.75">
      <c r="B29" s="1" t="s">
        <v>9</v>
      </c>
    </row>
    <row r="30" ht="12.75">
      <c r="B30" s="1" t="s">
        <v>829</v>
      </c>
    </row>
    <row r="31" ht="9.75" customHeight="1"/>
    <row r="32" ht="12.75">
      <c r="B32" s="1" t="s">
        <v>10</v>
      </c>
    </row>
    <row r="33" ht="12.75">
      <c r="B33" s="1" t="s">
        <v>830</v>
      </c>
    </row>
    <row r="34" ht="12.75">
      <c r="B34" s="1" t="s">
        <v>11</v>
      </c>
    </row>
    <row r="35" ht="12.75">
      <c r="B35" s="632" t="s">
        <v>12</v>
      </c>
    </row>
    <row r="36" ht="9.75" customHeight="1">
      <c r="B36" s="632"/>
    </row>
    <row r="37" ht="12.75">
      <c r="B37" s="237" t="s">
        <v>1431</v>
      </c>
    </row>
    <row r="38" ht="12.75">
      <c r="B38" s="237" t="s">
        <v>1430</v>
      </c>
    </row>
    <row r="39" ht="9.75" customHeight="1">
      <c r="B39" s="237"/>
    </row>
    <row r="40" ht="12.75">
      <c r="B40" s="237" t="s">
        <v>1432</v>
      </c>
    </row>
    <row r="41" ht="12.75">
      <c r="B41" s="237" t="s">
        <v>589</v>
      </c>
    </row>
    <row r="42" ht="15.75">
      <c r="B42" s="633" t="s">
        <v>13</v>
      </c>
    </row>
    <row r="44" ht="12.75">
      <c r="B44" s="1" t="s">
        <v>14</v>
      </c>
    </row>
    <row r="45" ht="12.75">
      <c r="B45" s="1" t="s">
        <v>15</v>
      </c>
    </row>
    <row r="46" ht="9.75" customHeight="1"/>
    <row r="47" s="632" customFormat="1" ht="12.75">
      <c r="B47" s="237" t="s">
        <v>1433</v>
      </c>
    </row>
    <row r="48" s="632" customFormat="1" ht="12.75">
      <c r="B48" s="237" t="s">
        <v>1434</v>
      </c>
    </row>
    <row r="49" s="632" customFormat="1" ht="9.75" customHeight="1">
      <c r="B49" s="237"/>
    </row>
    <row r="50" s="632" customFormat="1" ht="12.75">
      <c r="B50" s="237" t="s">
        <v>1158</v>
      </c>
    </row>
    <row r="51" s="632" customFormat="1" ht="12.75">
      <c r="B51" s="237" t="s">
        <v>1161</v>
      </c>
    </row>
    <row r="52" s="632" customFormat="1" ht="9.75" customHeight="1">
      <c r="B52" s="237"/>
    </row>
    <row r="53" s="632" customFormat="1" ht="12.75">
      <c r="B53" s="237" t="s">
        <v>1159</v>
      </c>
    </row>
    <row r="54" s="632" customFormat="1" ht="9.75" customHeight="1">
      <c r="B54" s="237"/>
    </row>
    <row r="55" ht="12.75">
      <c r="B55" s="237" t="s">
        <v>1160</v>
      </c>
    </row>
    <row r="56" ht="9.75" customHeight="1">
      <c r="B56" s="237"/>
    </row>
    <row r="57" ht="12.75">
      <c r="B57" s="237" t="s">
        <v>1164</v>
      </c>
    </row>
    <row r="58" ht="9.75" customHeight="1">
      <c r="B58" s="237"/>
    </row>
    <row r="59" ht="12.75">
      <c r="B59" s="237" t="s">
        <v>1162</v>
      </c>
    </row>
    <row r="60" ht="12.75">
      <c r="B60" s="1" t="s">
        <v>16</v>
      </c>
    </row>
    <row r="61" ht="12.75">
      <c r="B61" s="1" t="s">
        <v>749</v>
      </c>
    </row>
    <row r="62" ht="12.75">
      <c r="B62" s="1" t="s">
        <v>17</v>
      </c>
    </row>
    <row r="64" ht="15.75">
      <c r="B64" s="633" t="s">
        <v>5</v>
      </c>
    </row>
    <row r="66" ht="12.75">
      <c r="B66" s="237" t="s">
        <v>1444</v>
      </c>
    </row>
    <row r="67" ht="12.75">
      <c r="B67" s="237"/>
    </row>
    <row r="68" ht="12.75">
      <c r="B68" s="237"/>
    </row>
    <row r="69" spans="6:8" ht="12.75">
      <c r="F69" s="797">
        <f ca="1">NOW()</f>
        <v>45188.54951967593</v>
      </c>
      <c r="G69" s="797"/>
      <c r="H69" s="797"/>
    </row>
  </sheetData>
  <sheetProtection password="F6B0" sheet="1" selectLockedCells="1"/>
  <mergeCells count="1">
    <mergeCell ref="F69:H69"/>
  </mergeCells>
  <printOptions/>
  <pageMargins left="0.75" right="0.5" top="0.5" bottom="0.5" header="0" footer="0"/>
  <pageSetup horizontalDpi="600" verticalDpi="600" orientation="portrait" scale="84" r:id="rId1"/>
</worksheet>
</file>

<file path=xl/worksheets/sheet10.xml><?xml version="1.0" encoding="utf-8"?>
<worksheet xmlns="http://schemas.openxmlformats.org/spreadsheetml/2006/main" xmlns:r="http://schemas.openxmlformats.org/officeDocument/2006/relationships">
  <sheetPr codeName="Sheet5">
    <pageSetUpPr fitToPage="1"/>
  </sheetPr>
  <dimension ref="B2:Q58"/>
  <sheetViews>
    <sheetView view="pageLayout" workbookViewId="0" topLeftCell="A1">
      <selection activeCell="E5" sqref="E5"/>
    </sheetView>
  </sheetViews>
  <sheetFormatPr defaultColWidth="9.140625" defaultRowHeight="12.75"/>
  <cols>
    <col min="1" max="1" width="0.85546875" style="0" customWidth="1"/>
    <col min="2" max="2" width="3.28125" style="0" customWidth="1"/>
    <col min="3" max="3" width="0.85546875" style="0" customWidth="1"/>
    <col min="4" max="4" width="10.7109375" style="0" customWidth="1"/>
    <col min="5" max="5" width="54.7109375" style="0" customWidth="1"/>
    <col min="6" max="6" width="13.28125" style="0" customWidth="1"/>
    <col min="7" max="8" width="4.7109375" style="0" customWidth="1"/>
    <col min="9" max="9" width="0.5625" style="0" customWidth="1"/>
    <col min="10" max="11" width="4.7109375" style="0" customWidth="1"/>
    <col min="12" max="12" width="0.5625" style="0" customWidth="1"/>
    <col min="13" max="14" width="4.7109375" style="0" customWidth="1"/>
    <col min="15" max="15" width="0.5625" style="0" customWidth="1"/>
    <col min="16" max="17" width="4.7109375" style="0" customWidth="1"/>
  </cols>
  <sheetData>
    <row r="2" ht="12.75">
      <c r="B2" s="38"/>
    </row>
    <row r="3" spans="2:17" ht="20.25">
      <c r="B3" s="1042" t="s">
        <v>1384</v>
      </c>
      <c r="C3" s="1042"/>
      <c r="D3" s="1042"/>
      <c r="E3" s="1042"/>
      <c r="F3" s="1042"/>
      <c r="G3" s="1042"/>
      <c r="H3" s="1042"/>
      <c r="I3" s="1042"/>
      <c r="J3" s="1042"/>
      <c r="K3" s="1042"/>
      <c r="L3" s="1042"/>
      <c r="M3" s="1042"/>
      <c r="N3" s="1042"/>
      <c r="O3" s="1042"/>
      <c r="P3" s="1042"/>
      <c r="Q3" s="1042"/>
    </row>
    <row r="4" ht="6" customHeight="1"/>
    <row r="5" spans="4:17" ht="18">
      <c r="D5" s="707" t="s">
        <v>1401</v>
      </c>
      <c r="E5" s="720"/>
      <c r="F5" s="708" t="s">
        <v>1385</v>
      </c>
      <c r="G5" s="1041" t="str">
        <f>Cover!B12</f>
        <v> SELECT FROM LIST</v>
      </c>
      <c r="H5" s="1041"/>
      <c r="I5" s="1041"/>
      <c r="J5" s="1041"/>
      <c r="K5" s="1041"/>
      <c r="L5" s="1041"/>
      <c r="M5" s="1041"/>
      <c r="N5" s="1041"/>
      <c r="O5" s="1041"/>
      <c r="P5" s="1041"/>
      <c r="Q5" s="1041"/>
    </row>
    <row r="6" ht="6" customHeight="1"/>
    <row r="7" spans="2:17" ht="14.25" customHeight="1">
      <c r="B7" s="1032" t="s">
        <v>1406</v>
      </c>
      <c r="C7" s="1033"/>
      <c r="D7" s="1033"/>
      <c r="E7" s="1033"/>
      <c r="F7" s="1034"/>
      <c r="G7" s="1020" t="s">
        <v>1381</v>
      </c>
      <c r="H7" s="1021"/>
      <c r="I7" s="773"/>
      <c r="J7" s="1045" t="s">
        <v>1382</v>
      </c>
      <c r="K7" s="1046"/>
      <c r="L7" s="777"/>
      <c r="M7" s="1024" t="s">
        <v>1481</v>
      </c>
      <c r="N7" s="1021"/>
      <c r="O7" s="732"/>
      <c r="P7" s="1024" t="s">
        <v>1383</v>
      </c>
      <c r="Q7" s="1021"/>
    </row>
    <row r="8" spans="2:17" ht="16.5" customHeight="1">
      <c r="B8" s="1035"/>
      <c r="C8" s="1036"/>
      <c r="D8" s="1036"/>
      <c r="E8" s="1036"/>
      <c r="F8" s="1037"/>
      <c r="G8" s="1022"/>
      <c r="H8" s="1023"/>
      <c r="I8" s="774"/>
      <c r="J8" s="1047"/>
      <c r="K8" s="1048"/>
      <c r="L8" s="765"/>
      <c r="M8" s="1025"/>
      <c r="N8" s="1023"/>
      <c r="O8" s="733"/>
      <c r="P8" s="1025"/>
      <c r="Q8" s="1023"/>
    </row>
    <row r="9" spans="2:17" ht="12.75">
      <c r="B9" s="729"/>
      <c r="C9" s="729"/>
      <c r="D9" s="729"/>
      <c r="E9" s="1026"/>
      <c r="F9" s="1027"/>
      <c r="G9" s="714" t="s">
        <v>1387</v>
      </c>
      <c r="H9" s="711" t="s">
        <v>1388</v>
      </c>
      <c r="I9" s="734"/>
      <c r="J9" s="714" t="s">
        <v>1387</v>
      </c>
      <c r="K9" s="711" t="s">
        <v>1388</v>
      </c>
      <c r="L9" s="775"/>
      <c r="M9" s="711" t="s">
        <v>1387</v>
      </c>
      <c r="N9" s="712" t="s">
        <v>1388</v>
      </c>
      <c r="O9" s="734"/>
      <c r="P9" s="712" t="s">
        <v>1387</v>
      </c>
      <c r="Q9" s="713" t="s">
        <v>1388</v>
      </c>
    </row>
    <row r="10" spans="2:17" ht="12.75">
      <c r="B10" s="719" t="s">
        <v>1389</v>
      </c>
      <c r="C10" s="716"/>
      <c r="D10" s="1043" t="s">
        <v>1386</v>
      </c>
      <c r="E10" s="1043"/>
      <c r="F10" s="1044"/>
      <c r="G10" s="715"/>
      <c r="H10" s="304"/>
      <c r="I10" s="734"/>
      <c r="J10" s="778"/>
      <c r="K10" s="778"/>
      <c r="L10" s="734"/>
      <c r="M10" s="304"/>
      <c r="N10" s="304"/>
      <c r="O10" s="734"/>
      <c r="P10" s="304"/>
      <c r="Q10" s="304"/>
    </row>
    <row r="11" spans="2:17" ht="27" customHeight="1">
      <c r="B11" s="719" t="s">
        <v>1391</v>
      </c>
      <c r="C11" s="716"/>
      <c r="D11" s="1043" t="s">
        <v>1468</v>
      </c>
      <c r="E11" s="1043"/>
      <c r="F11" s="1044"/>
      <c r="G11" s="715"/>
      <c r="H11" s="304"/>
      <c r="I11" s="734"/>
      <c r="J11" s="778"/>
      <c r="K11" s="778"/>
      <c r="L11" s="734"/>
      <c r="M11" s="304"/>
      <c r="N11" s="304"/>
      <c r="O11" s="734"/>
      <c r="P11" s="304"/>
      <c r="Q11" s="304"/>
    </row>
    <row r="12" spans="2:17" ht="27" customHeight="1">
      <c r="B12" s="719" t="s">
        <v>1392</v>
      </c>
      <c r="C12" s="716"/>
      <c r="D12" s="1043" t="s">
        <v>1469</v>
      </c>
      <c r="E12" s="1043"/>
      <c r="F12" s="1044"/>
      <c r="G12" s="715"/>
      <c r="H12" s="304"/>
      <c r="I12" s="734"/>
      <c r="J12" s="778"/>
      <c r="K12" s="778"/>
      <c r="L12" s="734"/>
      <c r="M12" s="304"/>
      <c r="N12" s="304"/>
      <c r="O12" s="734"/>
      <c r="P12" s="304"/>
      <c r="Q12" s="304"/>
    </row>
    <row r="13" spans="2:17" ht="27" customHeight="1">
      <c r="B13" s="719" t="s">
        <v>1393</v>
      </c>
      <c r="C13" s="716"/>
      <c r="D13" s="1043" t="s">
        <v>1400</v>
      </c>
      <c r="E13" s="1043"/>
      <c r="F13" s="1044"/>
      <c r="G13" s="715"/>
      <c r="H13" s="304"/>
      <c r="I13" s="734"/>
      <c r="J13" s="778"/>
      <c r="K13" s="778"/>
      <c r="L13" s="734"/>
      <c r="M13" s="304"/>
      <c r="N13" s="304"/>
      <c r="O13" s="734"/>
      <c r="P13" s="304"/>
      <c r="Q13" s="304"/>
    </row>
    <row r="14" spans="2:17" s="725" customFormat="1" ht="27" customHeight="1">
      <c r="B14" s="721" t="s">
        <v>1394</v>
      </c>
      <c r="C14" s="722"/>
      <c r="D14" s="1030" t="s">
        <v>1470</v>
      </c>
      <c r="E14" s="1030"/>
      <c r="F14" s="1031"/>
      <c r="G14" s="723"/>
      <c r="H14" s="724"/>
      <c r="I14" s="735"/>
      <c r="J14" s="779"/>
      <c r="K14" s="779"/>
      <c r="L14" s="735"/>
      <c r="M14" s="724"/>
      <c r="N14" s="724"/>
      <c r="O14" s="735"/>
      <c r="P14" s="724"/>
      <c r="Q14" s="724"/>
    </row>
    <row r="15" spans="2:17" ht="27" customHeight="1">
      <c r="B15" s="719" t="s">
        <v>1395</v>
      </c>
      <c r="C15" s="716"/>
      <c r="D15" s="1030" t="s">
        <v>1402</v>
      </c>
      <c r="E15" s="1030"/>
      <c r="F15" s="1031"/>
      <c r="G15" s="715"/>
      <c r="H15" s="304"/>
      <c r="I15" s="734"/>
      <c r="J15" s="778"/>
      <c r="K15" s="778"/>
      <c r="L15" s="734"/>
      <c r="M15" s="304"/>
      <c r="N15" s="304"/>
      <c r="O15" s="734"/>
      <c r="P15" s="304"/>
      <c r="Q15" s="304"/>
    </row>
    <row r="16" spans="2:17" ht="12.75">
      <c r="B16" s="719" t="s">
        <v>1396</v>
      </c>
      <c r="C16" s="716"/>
      <c r="D16" s="1028" t="s">
        <v>1412</v>
      </c>
      <c r="E16" s="1028"/>
      <c r="F16" s="1029"/>
      <c r="G16" s="730"/>
      <c r="H16" s="731"/>
      <c r="I16" s="734"/>
      <c r="J16" s="776"/>
      <c r="K16" s="776"/>
      <c r="L16" s="776"/>
      <c r="M16" s="730"/>
      <c r="N16" s="731"/>
      <c r="O16" s="734"/>
      <c r="P16" s="730"/>
      <c r="Q16" s="731"/>
    </row>
    <row r="17" spans="2:17" ht="12.75">
      <c r="B17" s="719" t="s">
        <v>589</v>
      </c>
      <c r="C17" s="716"/>
      <c r="D17" s="1028" t="s">
        <v>1414</v>
      </c>
      <c r="E17" s="1028"/>
      <c r="F17" s="1029"/>
      <c r="G17" s="715"/>
      <c r="H17" s="304"/>
      <c r="I17" s="734"/>
      <c r="J17" s="778"/>
      <c r="K17" s="778"/>
      <c r="L17" s="734"/>
      <c r="M17" s="304"/>
      <c r="N17" s="304"/>
      <c r="O17" s="734"/>
      <c r="P17" s="304"/>
      <c r="Q17" s="304"/>
    </row>
    <row r="18" spans="2:17" ht="12.75">
      <c r="B18" s="719" t="s">
        <v>589</v>
      </c>
      <c r="C18" s="716"/>
      <c r="D18" s="1028" t="s">
        <v>1415</v>
      </c>
      <c r="E18" s="1028"/>
      <c r="F18" s="1029"/>
      <c r="G18" s="715"/>
      <c r="H18" s="304"/>
      <c r="I18" s="734"/>
      <c r="J18" s="778"/>
      <c r="K18" s="778"/>
      <c r="L18" s="734"/>
      <c r="M18" s="304"/>
      <c r="N18" s="304"/>
      <c r="O18" s="734"/>
      <c r="P18" s="304"/>
      <c r="Q18" s="304"/>
    </row>
    <row r="19" spans="2:17" ht="27" customHeight="1">
      <c r="B19" s="719" t="s">
        <v>589</v>
      </c>
      <c r="C19" s="716"/>
      <c r="D19" s="1030" t="s">
        <v>1416</v>
      </c>
      <c r="E19" s="1030"/>
      <c r="F19" s="1031"/>
      <c r="G19" s="715"/>
      <c r="H19" s="304"/>
      <c r="I19" s="734"/>
      <c r="J19" s="778"/>
      <c r="K19" s="778"/>
      <c r="L19" s="734"/>
      <c r="M19" s="304"/>
      <c r="N19" s="304"/>
      <c r="O19" s="734"/>
      <c r="P19" s="304"/>
      <c r="Q19" s="304"/>
    </row>
    <row r="20" spans="2:17" ht="12.75">
      <c r="B20" s="719" t="s">
        <v>589</v>
      </c>
      <c r="C20" s="716"/>
      <c r="D20" s="1028" t="s">
        <v>1417</v>
      </c>
      <c r="E20" s="1028"/>
      <c r="F20" s="1029"/>
      <c r="G20" s="715"/>
      <c r="H20" s="304"/>
      <c r="I20" s="734"/>
      <c r="J20" s="778"/>
      <c r="K20" s="778"/>
      <c r="L20" s="734"/>
      <c r="M20" s="304"/>
      <c r="N20" s="304"/>
      <c r="O20" s="734"/>
      <c r="P20" s="304"/>
      <c r="Q20" s="304"/>
    </row>
    <row r="21" spans="2:17" ht="12.75">
      <c r="B21" s="719" t="s">
        <v>589</v>
      </c>
      <c r="C21" s="716"/>
      <c r="D21" s="1028" t="s">
        <v>1418</v>
      </c>
      <c r="E21" s="1028"/>
      <c r="F21" s="1029"/>
      <c r="G21" s="715"/>
      <c r="H21" s="304"/>
      <c r="I21" s="734"/>
      <c r="J21" s="778"/>
      <c r="K21" s="778"/>
      <c r="L21" s="734"/>
      <c r="M21" s="304"/>
      <c r="N21" s="304"/>
      <c r="O21" s="734"/>
      <c r="P21" s="304"/>
      <c r="Q21" s="304"/>
    </row>
    <row r="22" spans="2:17" ht="12.75">
      <c r="B22" s="719" t="s">
        <v>589</v>
      </c>
      <c r="C22" s="716"/>
      <c r="D22" s="1028" t="s">
        <v>1419</v>
      </c>
      <c r="E22" s="1028"/>
      <c r="F22" s="1029"/>
      <c r="G22" s="715"/>
      <c r="H22" s="304"/>
      <c r="I22" s="734"/>
      <c r="J22" s="778"/>
      <c r="K22" s="778"/>
      <c r="L22" s="734"/>
      <c r="M22" s="304"/>
      <c r="N22" s="304"/>
      <c r="O22" s="734"/>
      <c r="P22" s="304"/>
      <c r="Q22" s="304"/>
    </row>
    <row r="23" spans="2:17" ht="27" customHeight="1">
      <c r="B23" s="719" t="s">
        <v>589</v>
      </c>
      <c r="C23" s="716"/>
      <c r="D23" s="1030" t="s">
        <v>1420</v>
      </c>
      <c r="E23" s="1030"/>
      <c r="F23" s="1031"/>
      <c r="G23" s="715"/>
      <c r="H23" s="304"/>
      <c r="I23" s="734"/>
      <c r="J23" s="778"/>
      <c r="K23" s="778"/>
      <c r="L23" s="734"/>
      <c r="M23" s="304"/>
      <c r="N23" s="304"/>
      <c r="O23" s="734"/>
      <c r="P23" s="304"/>
      <c r="Q23" s="304"/>
    </row>
    <row r="24" spans="2:17" ht="12.75">
      <c r="B24" s="719" t="s">
        <v>589</v>
      </c>
      <c r="C24" s="716"/>
      <c r="D24" s="1028" t="s">
        <v>1421</v>
      </c>
      <c r="E24" s="1028"/>
      <c r="F24" s="1029"/>
      <c r="G24" s="715"/>
      <c r="H24" s="304"/>
      <c r="I24" s="734"/>
      <c r="J24" s="778"/>
      <c r="K24" s="778"/>
      <c r="L24" s="734"/>
      <c r="M24" s="304"/>
      <c r="N24" s="304"/>
      <c r="O24" s="734"/>
      <c r="P24" s="304"/>
      <c r="Q24" s="304"/>
    </row>
    <row r="25" spans="2:17" ht="12.75">
      <c r="B25" s="719" t="s">
        <v>589</v>
      </c>
      <c r="C25" s="716"/>
      <c r="D25" s="1028" t="s">
        <v>1422</v>
      </c>
      <c r="E25" s="1028"/>
      <c r="F25" s="1029"/>
      <c r="G25" s="715"/>
      <c r="H25" s="304"/>
      <c r="I25" s="734"/>
      <c r="J25" s="778"/>
      <c r="K25" s="778"/>
      <c r="L25" s="734"/>
      <c r="M25" s="304"/>
      <c r="N25" s="304"/>
      <c r="O25" s="734"/>
      <c r="P25" s="304"/>
      <c r="Q25" s="304"/>
    </row>
    <row r="26" spans="2:17" ht="12.75">
      <c r="B26" s="719" t="s">
        <v>1403</v>
      </c>
      <c r="C26" s="716"/>
      <c r="D26" s="1028" t="s">
        <v>1413</v>
      </c>
      <c r="E26" s="1028"/>
      <c r="F26" s="1029"/>
      <c r="G26" s="715"/>
      <c r="H26" s="304"/>
      <c r="I26" s="734"/>
      <c r="J26" s="778"/>
      <c r="K26" s="778"/>
      <c r="L26" s="734"/>
      <c r="M26" s="304"/>
      <c r="N26" s="304"/>
      <c r="O26" s="734"/>
      <c r="P26" s="304"/>
      <c r="Q26" s="304"/>
    </row>
    <row r="27" spans="2:17" ht="39.75" customHeight="1">
      <c r="B27" s="719" t="s">
        <v>1397</v>
      </c>
      <c r="C27" s="716"/>
      <c r="D27" s="1030" t="s">
        <v>1407</v>
      </c>
      <c r="E27" s="1030"/>
      <c r="F27" s="1031"/>
      <c r="G27" s="715"/>
      <c r="H27" s="304"/>
      <c r="I27" s="734"/>
      <c r="J27" s="778"/>
      <c r="K27" s="778"/>
      <c r="L27" s="734"/>
      <c r="M27" s="304"/>
      <c r="N27" s="304"/>
      <c r="O27" s="734"/>
      <c r="P27" s="304"/>
      <c r="Q27" s="304"/>
    </row>
    <row r="28" spans="2:17" ht="12.75">
      <c r="B28" s="719" t="s">
        <v>1390</v>
      </c>
      <c r="C28" s="716"/>
      <c r="D28" s="1028" t="s">
        <v>1404</v>
      </c>
      <c r="E28" s="1028"/>
      <c r="F28" s="1029"/>
      <c r="G28" s="730"/>
      <c r="H28" s="731"/>
      <c r="I28" s="734"/>
      <c r="J28" s="776"/>
      <c r="K28" s="776"/>
      <c r="L28" s="776"/>
      <c r="M28" s="730"/>
      <c r="N28" s="731"/>
      <c r="O28" s="734"/>
      <c r="P28" s="730"/>
      <c r="Q28" s="731"/>
    </row>
    <row r="29" spans="2:17" ht="12.75">
      <c r="B29" s="719" t="s">
        <v>589</v>
      </c>
      <c r="C29" s="716"/>
      <c r="D29" s="1028" t="s">
        <v>1426</v>
      </c>
      <c r="E29" s="1028"/>
      <c r="F29" s="1029"/>
      <c r="G29" s="715"/>
      <c r="H29" s="304"/>
      <c r="I29" s="734"/>
      <c r="J29" s="778"/>
      <c r="K29" s="778"/>
      <c r="L29" s="734"/>
      <c r="M29" s="304"/>
      <c r="N29" s="304"/>
      <c r="O29" s="734"/>
      <c r="P29" s="304"/>
      <c r="Q29" s="304"/>
    </row>
    <row r="30" spans="2:17" ht="12.75">
      <c r="B30" s="719" t="s">
        <v>589</v>
      </c>
      <c r="C30" s="716"/>
      <c r="D30" s="1028" t="s">
        <v>1423</v>
      </c>
      <c r="E30" s="1028"/>
      <c r="F30" s="1029"/>
      <c r="G30" s="715"/>
      <c r="H30" s="304"/>
      <c r="I30" s="734"/>
      <c r="J30" s="778"/>
      <c r="K30" s="778"/>
      <c r="L30" s="734"/>
      <c r="M30" s="304"/>
      <c r="N30" s="304"/>
      <c r="O30" s="734"/>
      <c r="P30" s="304"/>
      <c r="Q30" s="304"/>
    </row>
    <row r="31" spans="2:17" ht="12.75">
      <c r="B31" s="719" t="s">
        <v>589</v>
      </c>
      <c r="C31" s="716"/>
      <c r="D31" s="1028" t="s">
        <v>1471</v>
      </c>
      <c r="E31" s="1028"/>
      <c r="F31" s="1029"/>
      <c r="G31" s="715"/>
      <c r="H31" s="304"/>
      <c r="I31" s="734"/>
      <c r="J31" s="778"/>
      <c r="K31" s="778"/>
      <c r="L31" s="734"/>
      <c r="M31" s="304"/>
      <c r="N31" s="304"/>
      <c r="O31" s="734"/>
      <c r="P31" s="304"/>
      <c r="Q31" s="304"/>
    </row>
    <row r="32" spans="2:17" ht="12.75">
      <c r="B32" s="719" t="s">
        <v>589</v>
      </c>
      <c r="C32" s="716"/>
      <c r="D32" s="1028" t="s">
        <v>1424</v>
      </c>
      <c r="E32" s="1028"/>
      <c r="F32" s="1029"/>
      <c r="G32" s="715"/>
      <c r="H32" s="304"/>
      <c r="I32" s="734"/>
      <c r="J32" s="778"/>
      <c r="K32" s="778"/>
      <c r="L32" s="734"/>
      <c r="M32" s="304"/>
      <c r="N32" s="304"/>
      <c r="O32" s="734"/>
      <c r="P32" s="304"/>
      <c r="Q32" s="304"/>
    </row>
    <row r="33" spans="2:17" s="725" customFormat="1" ht="27" customHeight="1">
      <c r="B33" s="721" t="s">
        <v>589</v>
      </c>
      <c r="C33" s="722"/>
      <c r="D33" s="1030" t="s">
        <v>1428</v>
      </c>
      <c r="E33" s="1030"/>
      <c r="F33" s="1031"/>
      <c r="G33" s="723"/>
      <c r="H33" s="724"/>
      <c r="I33" s="735"/>
      <c r="J33" s="779"/>
      <c r="K33" s="779"/>
      <c r="L33" s="735"/>
      <c r="M33" s="724"/>
      <c r="N33" s="724"/>
      <c r="O33" s="735"/>
      <c r="P33" s="724"/>
      <c r="Q33" s="724"/>
    </row>
    <row r="34" spans="2:17" ht="12.75">
      <c r="B34" s="719" t="s">
        <v>589</v>
      </c>
      <c r="C34" s="716"/>
      <c r="D34" s="1028" t="s">
        <v>1425</v>
      </c>
      <c r="E34" s="1028"/>
      <c r="F34" s="1029"/>
      <c r="G34" s="715"/>
      <c r="H34" s="304"/>
      <c r="I34" s="734"/>
      <c r="J34" s="778"/>
      <c r="K34" s="778"/>
      <c r="L34" s="734"/>
      <c r="M34" s="304"/>
      <c r="N34" s="304"/>
      <c r="O34" s="734"/>
      <c r="P34" s="304"/>
      <c r="Q34" s="304"/>
    </row>
    <row r="35" spans="2:17" ht="12.75">
      <c r="B35" s="719" t="s">
        <v>1398</v>
      </c>
      <c r="C35" s="716"/>
      <c r="D35" s="1028" t="s">
        <v>1427</v>
      </c>
      <c r="E35" s="1028"/>
      <c r="F35" s="1029"/>
      <c r="G35" s="715"/>
      <c r="H35" s="304"/>
      <c r="I35" s="734"/>
      <c r="J35" s="778"/>
      <c r="K35" s="778"/>
      <c r="L35" s="734"/>
      <c r="M35" s="304"/>
      <c r="N35" s="304"/>
      <c r="O35" s="734"/>
      <c r="P35" s="304"/>
      <c r="Q35" s="304"/>
    </row>
    <row r="36" spans="2:17" ht="12.75">
      <c r="B36" s="719" t="s">
        <v>1399</v>
      </c>
      <c r="C36" s="716"/>
      <c r="D36" s="1028" t="s">
        <v>1405</v>
      </c>
      <c r="E36" s="1028"/>
      <c r="F36" s="1029"/>
      <c r="G36" s="715"/>
      <c r="H36" s="304"/>
      <c r="I36" s="733"/>
      <c r="J36" s="778"/>
      <c r="K36" s="778"/>
      <c r="L36" s="733"/>
      <c r="M36" s="304"/>
      <c r="N36" s="304"/>
      <c r="O36" s="733"/>
      <c r="P36" s="304"/>
      <c r="Q36" s="304"/>
    </row>
    <row r="38" spans="2:5" s="725" customFormat="1" ht="24.75" customHeight="1">
      <c r="B38" s="1019" t="s">
        <v>1411</v>
      </c>
      <c r="C38" s="1019"/>
      <c r="D38" s="1019"/>
      <c r="E38" s="1019"/>
    </row>
    <row r="39" spans="2:17" ht="12.75">
      <c r="B39" s="710"/>
      <c r="C39" s="726"/>
      <c r="D39" s="714"/>
      <c r="E39" s="727"/>
      <c r="F39" s="1050"/>
      <c r="G39" s="1050"/>
      <c r="H39" s="1050"/>
      <c r="I39" s="1050"/>
      <c r="J39" s="1050"/>
      <c r="K39" s="1050"/>
      <c r="L39" s="1050"/>
      <c r="M39" s="1050"/>
      <c r="N39" s="1050"/>
      <c r="O39" s="1050"/>
      <c r="P39" s="1050"/>
      <c r="Q39" s="1050"/>
    </row>
    <row r="40" spans="2:17" ht="12.75">
      <c r="B40" s="706"/>
      <c r="C40" s="709"/>
      <c r="D40" s="709"/>
      <c r="E40" s="705"/>
      <c r="F40" s="1054" t="s">
        <v>1408</v>
      </c>
      <c r="G40" s="1055"/>
      <c r="H40" s="1055"/>
      <c r="I40" s="1055"/>
      <c r="J40" s="1055"/>
      <c r="K40" s="1055"/>
      <c r="L40" s="1055"/>
      <c r="M40" s="1055"/>
      <c r="N40" s="1055"/>
      <c r="O40" s="1055"/>
      <c r="P40" s="1055"/>
      <c r="Q40" s="1055"/>
    </row>
    <row r="41" spans="2:5" ht="12.75">
      <c r="B41" s="706"/>
      <c r="C41" s="709"/>
      <c r="D41" s="709"/>
      <c r="E41" s="705"/>
    </row>
    <row r="42" spans="2:17" ht="12.75">
      <c r="B42" s="706"/>
      <c r="C42" s="709"/>
      <c r="D42" s="709"/>
      <c r="E42" s="705"/>
      <c r="F42" s="1052"/>
      <c r="G42" s="1052"/>
      <c r="H42" s="1052"/>
      <c r="I42" s="1052"/>
      <c r="J42" s="1052"/>
      <c r="K42" s="1052"/>
      <c r="L42" s="1052"/>
      <c r="M42" s="1052"/>
      <c r="N42" s="1052"/>
      <c r="O42" s="1052"/>
      <c r="P42" s="1052"/>
      <c r="Q42" s="1052"/>
    </row>
    <row r="43" spans="2:17" ht="12.75">
      <c r="B43" s="706"/>
      <c r="C43" s="709"/>
      <c r="D43" s="709"/>
      <c r="E43" s="705"/>
      <c r="F43" s="1049"/>
      <c r="G43" s="1050"/>
      <c r="H43" s="1050"/>
      <c r="I43" s="1050"/>
      <c r="J43" s="1050"/>
      <c r="K43" s="1050"/>
      <c r="L43" s="1050"/>
      <c r="M43" s="1050"/>
      <c r="N43" s="1050"/>
      <c r="O43" s="1050"/>
      <c r="P43" s="1050"/>
      <c r="Q43" s="1050"/>
    </row>
    <row r="44" spans="2:17" ht="12.75">
      <c r="B44" s="706"/>
      <c r="C44" s="709"/>
      <c r="D44" s="709"/>
      <c r="E44" s="705"/>
      <c r="F44" s="1051" t="s">
        <v>1409</v>
      </c>
      <c r="G44" s="1052"/>
      <c r="H44" s="1052"/>
      <c r="I44" s="1052"/>
      <c r="J44" s="1052"/>
      <c r="K44" s="1052"/>
      <c r="L44" s="1052"/>
      <c r="M44" s="1052"/>
      <c r="N44" s="1052"/>
      <c r="O44" s="1052"/>
      <c r="P44" s="1052"/>
      <c r="Q44" s="1052"/>
    </row>
    <row r="45" spans="2:5" ht="12.75">
      <c r="B45" s="706"/>
      <c r="C45" s="709"/>
      <c r="D45" s="709"/>
      <c r="E45" s="705"/>
    </row>
    <row r="46" spans="2:5" ht="12.75">
      <c r="B46" s="706"/>
      <c r="C46" s="709"/>
      <c r="D46" s="709"/>
      <c r="E46" s="705"/>
    </row>
    <row r="47" spans="2:17" ht="12.75">
      <c r="B47" s="706"/>
      <c r="C47" s="709"/>
      <c r="D47" s="709"/>
      <c r="E47" s="705"/>
      <c r="F47" s="1049"/>
      <c r="G47" s="1050"/>
      <c r="H47" s="1050"/>
      <c r="I47" s="1050"/>
      <c r="J47" s="1050"/>
      <c r="K47" s="1050"/>
      <c r="L47" s="1050"/>
      <c r="M47" s="1050"/>
      <c r="N47" s="1050"/>
      <c r="O47" s="1050"/>
      <c r="P47" s="1050"/>
      <c r="Q47" s="1050"/>
    </row>
    <row r="48" spans="2:17" ht="12.75">
      <c r="B48" s="706"/>
      <c r="C48" s="709"/>
      <c r="D48" s="709"/>
      <c r="E48" s="705"/>
      <c r="F48" s="1051" t="s">
        <v>1482</v>
      </c>
      <c r="G48" s="1052"/>
      <c r="H48" s="1052"/>
      <c r="I48" s="1052"/>
      <c r="J48" s="1052"/>
      <c r="K48" s="1052"/>
      <c r="L48" s="1052"/>
      <c r="M48" s="1052"/>
      <c r="N48" s="1052"/>
      <c r="O48" s="1052"/>
      <c r="P48" s="1052"/>
      <c r="Q48" s="1052"/>
    </row>
    <row r="49" spans="2:5" ht="12.75">
      <c r="B49" s="706"/>
      <c r="C49" s="709"/>
      <c r="D49" s="709"/>
      <c r="E49" s="705"/>
    </row>
    <row r="50" spans="2:17" ht="12.75">
      <c r="B50" s="706"/>
      <c r="C50" s="709"/>
      <c r="D50" s="709"/>
      <c r="E50" s="705"/>
      <c r="F50" s="706"/>
      <c r="G50" s="709"/>
      <c r="H50" s="709"/>
      <c r="I50" s="709"/>
      <c r="J50" s="709"/>
      <c r="K50" s="709"/>
      <c r="L50" s="709"/>
      <c r="M50" s="709"/>
      <c r="N50" s="709"/>
      <c r="O50" s="709"/>
      <c r="P50" s="709"/>
      <c r="Q50" s="709"/>
    </row>
    <row r="51" spans="2:17" ht="12.75">
      <c r="B51" s="706"/>
      <c r="C51" s="709"/>
      <c r="D51" s="709"/>
      <c r="E51" s="705"/>
      <c r="F51" s="706"/>
      <c r="G51" s="709"/>
      <c r="H51" s="709"/>
      <c r="I51" s="709"/>
      <c r="J51" s="709"/>
      <c r="K51" s="709"/>
      <c r="L51" s="709"/>
      <c r="M51" s="709"/>
      <c r="N51" s="709"/>
      <c r="O51" s="709"/>
      <c r="P51" s="709"/>
      <c r="Q51" s="709"/>
    </row>
    <row r="52" spans="2:17" ht="12.75">
      <c r="B52" s="706"/>
      <c r="C52" s="709"/>
      <c r="D52" s="709"/>
      <c r="E52" s="705"/>
      <c r="F52" s="1050"/>
      <c r="G52" s="1050"/>
      <c r="H52" s="1050"/>
      <c r="I52" s="1050"/>
      <c r="J52" s="1050"/>
      <c r="K52" s="1050"/>
      <c r="L52" s="1050"/>
      <c r="M52" s="1050"/>
      <c r="N52" s="1050"/>
      <c r="O52" s="1050"/>
      <c r="P52" s="1050"/>
      <c r="Q52" s="1050"/>
    </row>
    <row r="53" spans="2:17" ht="12.75">
      <c r="B53" s="706"/>
      <c r="C53" s="709"/>
      <c r="D53" s="709"/>
      <c r="E53" s="705"/>
      <c r="F53" s="1038" t="s">
        <v>1484</v>
      </c>
      <c r="G53" s="1039"/>
      <c r="H53" s="1039"/>
      <c r="I53" s="1039"/>
      <c r="J53" s="1039"/>
      <c r="K53" s="1039"/>
      <c r="L53" s="1039"/>
      <c r="M53" s="1039"/>
      <c r="N53" s="1039"/>
      <c r="O53" s="1039"/>
      <c r="P53" s="1039"/>
      <c r="Q53" s="1039"/>
    </row>
    <row r="54" spans="2:17" ht="12.75">
      <c r="B54" s="706"/>
      <c r="C54" s="709"/>
      <c r="D54" s="709"/>
      <c r="E54" s="705"/>
      <c r="F54" s="706"/>
      <c r="G54" s="709"/>
      <c r="H54" s="709"/>
      <c r="I54" s="709"/>
      <c r="J54" s="709"/>
      <c r="K54" s="709"/>
      <c r="L54" s="709"/>
      <c r="M54" s="709"/>
      <c r="N54" s="709"/>
      <c r="O54" s="709"/>
      <c r="P54" s="709"/>
      <c r="Q54" s="709"/>
    </row>
    <row r="55" spans="2:17" ht="12.75">
      <c r="B55" s="706"/>
      <c r="C55" s="709"/>
      <c r="D55" s="709"/>
      <c r="E55" s="705"/>
      <c r="F55" s="706"/>
      <c r="G55" s="709"/>
      <c r="H55" s="709"/>
      <c r="I55" s="709"/>
      <c r="J55" s="709"/>
      <c r="K55" s="709"/>
      <c r="L55" s="709"/>
      <c r="M55" s="709"/>
      <c r="N55" s="709"/>
      <c r="O55" s="709"/>
      <c r="P55" s="709"/>
      <c r="Q55" s="709"/>
    </row>
    <row r="56" spans="2:17" ht="12.75">
      <c r="B56" s="717"/>
      <c r="C56" s="718"/>
      <c r="D56" s="718"/>
      <c r="E56" s="728"/>
      <c r="F56" s="706"/>
      <c r="G56" s="709"/>
      <c r="H56" s="709"/>
      <c r="I56" s="709"/>
      <c r="J56" s="709"/>
      <c r="K56" s="709"/>
      <c r="L56" s="709"/>
      <c r="M56" s="709"/>
      <c r="N56" s="709"/>
      <c r="O56" s="709"/>
      <c r="P56" s="709"/>
      <c r="Q56" s="709"/>
    </row>
    <row r="57" ht="12.75">
      <c r="D57" s="38"/>
    </row>
    <row r="58" spans="2:17" ht="12.75">
      <c r="B58" s="753" t="s">
        <v>1410</v>
      </c>
      <c r="E58" s="752" t="str">
        <f>Cover!B56</f>
        <v>MO FFA 2022-2025 Application-October 2022</v>
      </c>
      <c r="F58" s="1053">
        <f ca="1">NOW()</f>
        <v>45188.54951967593</v>
      </c>
      <c r="G58" s="1053"/>
      <c r="N58" s="1040">
        <f>Cover!M56</f>
        <v>0</v>
      </c>
      <c r="O58" s="1040"/>
      <c r="P58" s="1040"/>
      <c r="Q58" s="1040"/>
    </row>
  </sheetData>
  <sheetProtection/>
  <mergeCells count="47">
    <mergeCell ref="J7:K8"/>
    <mergeCell ref="F47:Q47"/>
    <mergeCell ref="F48:Q48"/>
    <mergeCell ref="F58:G58"/>
    <mergeCell ref="F40:Q40"/>
    <mergeCell ref="F39:Q39"/>
    <mergeCell ref="F42:Q42"/>
    <mergeCell ref="F43:Q43"/>
    <mergeCell ref="F44:Q44"/>
    <mergeCell ref="F52:Q52"/>
    <mergeCell ref="F53:Q53"/>
    <mergeCell ref="N58:Q58"/>
    <mergeCell ref="G5:Q5"/>
    <mergeCell ref="B3:Q3"/>
    <mergeCell ref="D10:F10"/>
    <mergeCell ref="D11:F11"/>
    <mergeCell ref="D12:F12"/>
    <mergeCell ref="D28:F28"/>
    <mergeCell ref="D13:F13"/>
    <mergeCell ref="D22:F22"/>
    <mergeCell ref="D14:F14"/>
    <mergeCell ref="D15:F15"/>
    <mergeCell ref="D29:F29"/>
    <mergeCell ref="D30:F30"/>
    <mergeCell ref="D17:F17"/>
    <mergeCell ref="D18:F18"/>
    <mergeCell ref="D19:F19"/>
    <mergeCell ref="D36:F36"/>
    <mergeCell ref="D20:F20"/>
    <mergeCell ref="D21:F21"/>
    <mergeCell ref="D31:F31"/>
    <mergeCell ref="D32:F32"/>
    <mergeCell ref="D33:F33"/>
    <mergeCell ref="D25:F25"/>
    <mergeCell ref="D34:F34"/>
    <mergeCell ref="D23:F23"/>
    <mergeCell ref="D24:F24"/>
    <mergeCell ref="B38:E38"/>
    <mergeCell ref="G7:H8"/>
    <mergeCell ref="M7:N8"/>
    <mergeCell ref="P7:Q8"/>
    <mergeCell ref="E9:F9"/>
    <mergeCell ref="D26:F26"/>
    <mergeCell ref="D27:F27"/>
    <mergeCell ref="B7:F8"/>
    <mergeCell ref="D35:F35"/>
    <mergeCell ref="D16:F16"/>
  </mergeCells>
  <printOptions/>
  <pageMargins left="0.25" right="0.25" top="0.45" bottom="0.25" header="0" footer="0"/>
  <pageSetup fitToHeight="1" fitToWidth="1"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P437"/>
  <sheetViews>
    <sheetView showGridLines="0" showZeros="0" zoomScalePageLayoutView="0" workbookViewId="0" topLeftCell="A13">
      <selection activeCell="B12" sqref="B12:G12"/>
    </sheetView>
  </sheetViews>
  <sheetFormatPr defaultColWidth="9.140625" defaultRowHeight="12.75"/>
  <cols>
    <col min="1" max="1" width="0.85546875" style="1" customWidth="1"/>
    <col min="2" max="2" width="6.7109375" style="1" customWidth="1"/>
    <col min="3" max="3" width="7.7109375" style="1" customWidth="1"/>
    <col min="4" max="4" width="5.7109375" style="1" customWidth="1"/>
    <col min="5" max="5" width="10.8515625" style="1" customWidth="1"/>
    <col min="6" max="6" width="10.00390625" style="1" customWidth="1"/>
    <col min="7" max="7" width="9.28125" style="1" customWidth="1"/>
    <col min="8" max="9" width="0.85546875" style="1" customWidth="1"/>
    <col min="10" max="10" width="6.7109375" style="1" customWidth="1"/>
    <col min="11" max="11" width="14.7109375" style="1" customWidth="1"/>
    <col min="12" max="12" width="7.7109375" style="1" customWidth="1"/>
    <col min="13" max="13" width="10.7109375" style="1" customWidth="1"/>
    <col min="14" max="14" width="0.85546875" style="1" customWidth="1"/>
    <col min="15" max="24" width="9.140625" style="1" hidden="1" customWidth="1"/>
    <col min="25" max="25" width="8.8515625" style="1" hidden="1" customWidth="1"/>
    <col min="26" max="28" width="9.140625" style="1" hidden="1" customWidth="1"/>
    <col min="29" max="29" width="28.00390625" style="1" hidden="1" customWidth="1"/>
    <col min="30" max="30" width="12.7109375" style="1" hidden="1" customWidth="1"/>
    <col min="31" max="46" width="9.140625" style="1" hidden="1" customWidth="1"/>
    <col min="47" max="58" width="9.140625" style="1" customWidth="1"/>
    <col min="59" max="16384" width="9.140625" style="1" customWidth="1"/>
  </cols>
  <sheetData>
    <row r="1" ht="19.5" customHeight="1">
      <c r="B1" s="38"/>
    </row>
    <row r="2" ht="19.5" customHeight="1"/>
    <row r="3" ht="19.5" customHeight="1"/>
    <row r="4" ht="19.5" customHeight="1"/>
    <row r="5" ht="19.5" customHeight="1"/>
    <row r="6" spans="2:14" ht="27.75" customHeight="1">
      <c r="B6" s="333" t="s">
        <v>1498</v>
      </c>
      <c r="G6" s="334"/>
      <c r="H6" s="334"/>
      <c r="I6" s="334"/>
      <c r="J6" s="334"/>
      <c r="K6" s="334"/>
      <c r="L6" s="335" t="s">
        <v>18</v>
      </c>
      <c r="M6" s="336"/>
      <c r="N6" s="26"/>
    </row>
    <row r="7" spans="2:42" ht="27.75" customHeight="1">
      <c r="B7" s="333" t="s">
        <v>19</v>
      </c>
      <c r="AG7" s="337"/>
      <c r="AH7" s="390"/>
      <c r="AK7" s="337"/>
      <c r="AL7" s="390"/>
      <c r="AO7" s="391"/>
      <c r="AP7" s="390"/>
    </row>
    <row r="8" spans="2:42" ht="27.75" customHeight="1">
      <c r="B8" s="333" t="s">
        <v>22</v>
      </c>
      <c r="O8" s="338"/>
      <c r="AH8" s="390"/>
      <c r="AK8" s="337"/>
      <c r="AL8" s="390"/>
      <c r="AO8" s="391"/>
      <c r="AP8" s="390"/>
    </row>
    <row r="9" spans="2:42" s="339" customFormat="1" ht="39" customHeight="1" thickBot="1">
      <c r="B9" s="340" t="s">
        <v>25</v>
      </c>
      <c r="C9" s="341"/>
      <c r="D9" s="341"/>
      <c r="E9" s="341"/>
      <c r="F9" s="341"/>
      <c r="G9" s="341"/>
      <c r="H9" s="341"/>
      <c r="I9" s="341"/>
      <c r="J9" s="341"/>
      <c r="K9" s="341"/>
      <c r="L9" s="341"/>
      <c r="M9" s="341"/>
      <c r="N9" s="341"/>
      <c r="AG9" s="342"/>
      <c r="AH9" s="392"/>
      <c r="AK9" s="342"/>
      <c r="AL9" s="392"/>
      <c r="AO9" s="393"/>
      <c r="AP9" s="392"/>
    </row>
    <row r="10" spans="1:42" ht="3" customHeight="1" thickTop="1">
      <c r="A10" s="343"/>
      <c r="B10" s="344"/>
      <c r="C10" s="344"/>
      <c r="D10" s="344"/>
      <c r="E10" s="344"/>
      <c r="F10" s="344"/>
      <c r="G10" s="344"/>
      <c r="H10" s="344"/>
      <c r="I10" s="345"/>
      <c r="J10" s="344"/>
      <c r="K10" s="344"/>
      <c r="L10" s="344"/>
      <c r="M10" s="344"/>
      <c r="N10" s="346"/>
      <c r="AG10" s="337"/>
      <c r="AH10" s="390"/>
      <c r="AK10" s="337"/>
      <c r="AL10" s="390"/>
      <c r="AO10" s="391"/>
      <c r="AP10" s="390"/>
    </row>
    <row r="11" spans="1:42" ht="12.75">
      <c r="A11" s="347"/>
      <c r="B11" s="348" t="s">
        <v>748</v>
      </c>
      <c r="C11" s="26"/>
      <c r="D11" s="26"/>
      <c r="E11" s="26"/>
      <c r="F11" s="26"/>
      <c r="G11" s="26"/>
      <c r="H11" s="26"/>
      <c r="I11" s="209"/>
      <c r="J11" s="348" t="s">
        <v>743</v>
      </c>
      <c r="K11" s="26"/>
      <c r="L11" s="26"/>
      <c r="M11" s="26"/>
      <c r="N11" s="349"/>
      <c r="AG11" s="337"/>
      <c r="AH11" s="390"/>
      <c r="AK11" s="337"/>
      <c r="AL11" s="390"/>
      <c r="AO11" s="391"/>
      <c r="AP11" s="390"/>
    </row>
    <row r="12" spans="1:42" ht="21" customHeight="1">
      <c r="A12" s="350"/>
      <c r="B12" s="800" t="s">
        <v>769</v>
      </c>
      <c r="C12" s="800"/>
      <c r="D12" s="800"/>
      <c r="E12" s="800"/>
      <c r="F12" s="800"/>
      <c r="G12" s="800"/>
      <c r="H12" s="179"/>
      <c r="I12" s="351"/>
      <c r="J12" s="804" t="str">
        <f>VLOOKUP(B12,AC73:AD436,2,FALSE)</f>
        <v> </v>
      </c>
      <c r="K12" s="804"/>
      <c r="L12" s="804"/>
      <c r="M12" s="804"/>
      <c r="N12" s="352"/>
      <c r="Q12" s="803"/>
      <c r="R12" s="803"/>
      <c r="S12" s="803"/>
      <c r="T12" s="803"/>
      <c r="AG12" s="337"/>
      <c r="AH12" s="390"/>
      <c r="AK12" s="337"/>
      <c r="AL12" s="390"/>
      <c r="AO12" s="391"/>
      <c r="AP12" s="390"/>
    </row>
    <row r="13" spans="1:42" ht="12.75">
      <c r="A13" s="347"/>
      <c r="B13" s="348" t="s">
        <v>34</v>
      </c>
      <c r="C13" s="26"/>
      <c r="D13" s="26"/>
      <c r="E13" s="26"/>
      <c r="F13" s="26"/>
      <c r="G13" s="26"/>
      <c r="H13" s="207"/>
      <c r="I13" s="206"/>
      <c r="J13" s="26" t="s">
        <v>766</v>
      </c>
      <c r="K13" s="26"/>
      <c r="L13" s="26"/>
      <c r="M13" s="26"/>
      <c r="N13" s="349"/>
      <c r="AG13" s="337"/>
      <c r="AH13" s="390"/>
      <c r="AK13" s="337"/>
      <c r="AL13" s="390"/>
      <c r="AO13" s="337"/>
      <c r="AP13" s="390"/>
    </row>
    <row r="14" spans="1:42" ht="24" customHeight="1">
      <c r="A14" s="350"/>
      <c r="B14" s="801"/>
      <c r="C14" s="801"/>
      <c r="D14" s="801"/>
      <c r="E14" s="801"/>
      <c r="F14" s="801"/>
      <c r="G14" s="801"/>
      <c r="H14" s="127"/>
      <c r="I14" s="128"/>
      <c r="J14" s="807"/>
      <c r="K14" s="807"/>
      <c r="L14" s="807"/>
      <c r="M14" s="807"/>
      <c r="N14" s="352"/>
      <c r="AG14" s="337"/>
      <c r="AH14" s="390"/>
      <c r="AK14" s="391"/>
      <c r="AL14" s="390"/>
      <c r="AO14" s="337"/>
      <c r="AP14" s="390"/>
    </row>
    <row r="15" spans="1:42" ht="12.75">
      <c r="A15" s="347"/>
      <c r="B15" s="348" t="s">
        <v>39</v>
      </c>
      <c r="C15" s="26"/>
      <c r="D15" s="26"/>
      <c r="E15" s="26"/>
      <c r="F15" s="26"/>
      <c r="G15" s="26"/>
      <c r="H15" s="26"/>
      <c r="I15" s="209"/>
      <c r="J15" s="348" t="s">
        <v>40</v>
      </c>
      <c r="K15" s="26"/>
      <c r="L15" s="26"/>
      <c r="M15" s="26"/>
      <c r="N15" s="349"/>
      <c r="AG15" s="337"/>
      <c r="AH15" s="390"/>
      <c r="AK15" s="391"/>
      <c r="AL15" s="390"/>
      <c r="AO15" s="337"/>
      <c r="AP15" s="390"/>
    </row>
    <row r="16" spans="1:42" ht="18" customHeight="1">
      <c r="A16" s="350"/>
      <c r="B16" s="802"/>
      <c r="C16" s="802"/>
      <c r="D16" s="802"/>
      <c r="E16" s="802"/>
      <c r="F16" s="802"/>
      <c r="G16" s="802"/>
      <c r="H16" s="179"/>
      <c r="I16" s="351"/>
      <c r="J16" s="812"/>
      <c r="K16" s="812"/>
      <c r="L16" s="812"/>
      <c r="M16" s="812"/>
      <c r="N16" s="352"/>
      <c r="AG16" s="337"/>
      <c r="AH16" s="390"/>
      <c r="AK16" s="391"/>
      <c r="AL16" s="390"/>
      <c r="AO16" s="337"/>
      <c r="AP16" s="390"/>
    </row>
    <row r="17" spans="1:42" ht="12.75">
      <c r="A17" s="347"/>
      <c r="B17" s="348" t="s">
        <v>45</v>
      </c>
      <c r="C17" s="26"/>
      <c r="D17" s="26"/>
      <c r="E17" s="26"/>
      <c r="F17" s="26"/>
      <c r="G17" s="26"/>
      <c r="H17" s="26"/>
      <c r="I17" s="209"/>
      <c r="J17" s="348" t="s">
        <v>46</v>
      </c>
      <c r="K17" s="26"/>
      <c r="L17" s="26"/>
      <c r="M17" s="26"/>
      <c r="N17" s="349"/>
      <c r="AG17" s="337"/>
      <c r="AH17" s="390"/>
      <c r="AK17" s="391"/>
      <c r="AL17" s="390"/>
      <c r="AO17" s="337"/>
      <c r="AP17" s="390"/>
    </row>
    <row r="18" spans="1:42" ht="18" customHeight="1">
      <c r="A18" s="350"/>
      <c r="B18" s="802"/>
      <c r="C18" s="802"/>
      <c r="D18" s="802"/>
      <c r="E18" s="802"/>
      <c r="F18" s="802"/>
      <c r="G18" s="802"/>
      <c r="H18" s="179"/>
      <c r="I18" s="351"/>
      <c r="J18" s="805"/>
      <c r="K18" s="805"/>
      <c r="L18" s="805"/>
      <c r="M18" s="805"/>
      <c r="N18" s="352"/>
      <c r="AG18" s="337"/>
      <c r="AH18" s="390"/>
      <c r="AK18" s="391"/>
      <c r="AL18" s="390"/>
      <c r="AO18" s="337"/>
      <c r="AP18" s="390"/>
    </row>
    <row r="19" spans="1:42" ht="12.75">
      <c r="A19" s="347"/>
      <c r="B19" s="348" t="s">
        <v>51</v>
      </c>
      <c r="C19" s="26"/>
      <c r="D19" s="26"/>
      <c r="E19" s="26"/>
      <c r="F19" s="26"/>
      <c r="G19" s="26"/>
      <c r="H19" s="26"/>
      <c r="I19" s="209"/>
      <c r="J19" s="26"/>
      <c r="K19" s="26"/>
      <c r="L19" s="26"/>
      <c r="M19" s="26"/>
      <c r="N19" s="349"/>
      <c r="AG19" s="337"/>
      <c r="AH19" s="390"/>
      <c r="AK19" s="391"/>
      <c r="AL19" s="390"/>
      <c r="AO19" s="337"/>
      <c r="AP19" s="390"/>
    </row>
    <row r="20" spans="1:42" ht="18" customHeight="1">
      <c r="A20" s="350"/>
      <c r="B20" s="353" t="s">
        <v>54</v>
      </c>
      <c r="C20" s="806"/>
      <c r="D20" s="806"/>
      <c r="E20" s="806"/>
      <c r="F20" s="806"/>
      <c r="G20" s="806"/>
      <c r="H20" s="179"/>
      <c r="I20" s="351"/>
      <c r="J20" s="353" t="s">
        <v>55</v>
      </c>
      <c r="K20" s="806"/>
      <c r="L20" s="806"/>
      <c r="M20" s="806"/>
      <c r="N20" s="352"/>
      <c r="AG20" s="337"/>
      <c r="AH20" s="390"/>
      <c r="AK20" s="391"/>
      <c r="AL20" s="390"/>
      <c r="AO20" s="337"/>
      <c r="AP20" s="390"/>
    </row>
    <row r="21" spans="1:42" ht="15" customHeight="1">
      <c r="A21" s="347"/>
      <c r="B21" s="348" t="s">
        <v>58</v>
      </c>
      <c r="C21" s="26"/>
      <c r="D21" s="26"/>
      <c r="E21" s="26"/>
      <c r="F21" s="26"/>
      <c r="G21" s="26"/>
      <c r="H21" s="208"/>
      <c r="I21" s="317"/>
      <c r="J21" s="317"/>
      <c r="K21" s="317"/>
      <c r="L21" s="317"/>
      <c r="M21" s="317"/>
      <c r="N21" s="354"/>
      <c r="AG21" s="337"/>
      <c r="AH21" s="390"/>
      <c r="AK21" s="391"/>
      <c r="AL21" s="390"/>
      <c r="AO21" s="337"/>
      <c r="AP21" s="390"/>
    </row>
    <row r="22" spans="1:42" ht="18" customHeight="1">
      <c r="A22" s="350"/>
      <c r="B22" s="799"/>
      <c r="C22" s="799"/>
      <c r="D22" s="799"/>
      <c r="E22" s="799"/>
      <c r="F22" s="799"/>
      <c r="G22" s="799"/>
      <c r="H22" s="355"/>
      <c r="I22" s="356"/>
      <c r="J22" s="357" t="s">
        <v>61</v>
      </c>
      <c r="K22" s="357"/>
      <c r="L22" s="357"/>
      <c r="M22" s="357"/>
      <c r="N22" s="354"/>
      <c r="AG22" s="337"/>
      <c r="AH22" s="390"/>
      <c r="AK22" s="391"/>
      <c r="AL22" s="390"/>
      <c r="AO22" s="337"/>
      <c r="AP22" s="390"/>
    </row>
    <row r="23" spans="1:42" ht="12.75">
      <c r="A23" s="347"/>
      <c r="B23" s="348" t="s">
        <v>64</v>
      </c>
      <c r="C23" s="26"/>
      <c r="D23" s="26"/>
      <c r="E23" s="26"/>
      <c r="F23" s="26"/>
      <c r="G23" s="26"/>
      <c r="H23" s="211"/>
      <c r="I23" s="317"/>
      <c r="J23" s="317"/>
      <c r="K23" s="317"/>
      <c r="L23" s="317"/>
      <c r="M23" s="317"/>
      <c r="N23" s="354"/>
      <c r="AG23" s="337"/>
      <c r="AH23" s="390"/>
      <c r="AK23" s="391"/>
      <c r="AL23" s="390"/>
      <c r="AO23" s="337"/>
      <c r="AP23" s="390"/>
    </row>
    <row r="24" spans="1:42" ht="18" customHeight="1">
      <c r="A24" s="350"/>
      <c r="B24" s="799"/>
      <c r="C24" s="799"/>
      <c r="D24" s="799"/>
      <c r="E24" s="799"/>
      <c r="F24" s="799"/>
      <c r="G24" s="799"/>
      <c r="H24" s="355"/>
      <c r="I24" s="317"/>
      <c r="J24" s="317"/>
      <c r="K24" s="318" t="s">
        <v>903</v>
      </c>
      <c r="L24" s="317"/>
      <c r="M24" s="317"/>
      <c r="N24" s="354"/>
      <c r="AG24" s="337"/>
      <c r="AH24" s="390"/>
      <c r="AK24" s="391"/>
      <c r="AL24" s="390"/>
      <c r="AO24" s="337"/>
      <c r="AP24" s="390"/>
    </row>
    <row r="25" spans="1:42" ht="12.75">
      <c r="A25" s="347"/>
      <c r="B25" s="348" t="s">
        <v>746</v>
      </c>
      <c r="C25" s="26"/>
      <c r="D25" s="26"/>
      <c r="E25" s="26"/>
      <c r="F25" s="26"/>
      <c r="G25" s="26"/>
      <c r="H25" s="208"/>
      <c r="I25" s="317"/>
      <c r="J25" s="317"/>
      <c r="K25" s="319"/>
      <c r="L25" s="317"/>
      <c r="M25" s="317"/>
      <c r="N25" s="354"/>
      <c r="AG25" s="337"/>
      <c r="AH25" s="390"/>
      <c r="AK25" s="391"/>
      <c r="AL25" s="390"/>
      <c r="AO25" s="337"/>
      <c r="AP25" s="390"/>
    </row>
    <row r="26" spans="1:42" ht="15" customHeight="1">
      <c r="A26" s="347"/>
      <c r="B26" s="123"/>
      <c r="C26" s="823" t="s">
        <v>747</v>
      </c>
      <c r="D26" s="824"/>
      <c r="E26" s="824"/>
      <c r="F26" s="824"/>
      <c r="G26" s="824"/>
      <c r="H26" s="211"/>
      <c r="I26" s="317"/>
      <c r="J26" s="317"/>
      <c r="K26" s="318" t="s">
        <v>904</v>
      </c>
      <c r="L26" s="317"/>
      <c r="M26" s="317"/>
      <c r="N26" s="354"/>
      <c r="O26" s="808" t="s">
        <v>589</v>
      </c>
      <c r="P26" s="809"/>
      <c r="Q26" s="809"/>
      <c r="R26" s="809"/>
      <c r="S26" s="809"/>
      <c r="T26" s="809"/>
      <c r="AG26" s="337"/>
      <c r="AH26" s="390"/>
      <c r="AK26" s="391"/>
      <c r="AL26" s="390"/>
      <c r="AO26" s="337"/>
      <c r="AP26" s="390"/>
    </row>
    <row r="27" spans="1:42" ht="9" customHeight="1">
      <c r="A27" s="350"/>
      <c r="B27" s="179"/>
      <c r="C27" s="825"/>
      <c r="D27" s="825"/>
      <c r="E27" s="825"/>
      <c r="F27" s="825"/>
      <c r="G27" s="825"/>
      <c r="H27" s="211"/>
      <c r="I27" s="317"/>
      <c r="J27" s="317"/>
      <c r="K27" s="319"/>
      <c r="L27" s="317"/>
      <c r="M27" s="317"/>
      <c r="N27" s="354"/>
      <c r="O27" s="810"/>
      <c r="P27" s="809"/>
      <c r="Q27" s="809"/>
      <c r="R27" s="809"/>
      <c r="S27" s="809"/>
      <c r="T27" s="809"/>
      <c r="AG27" s="337"/>
      <c r="AH27" s="390"/>
      <c r="AK27" s="391"/>
      <c r="AL27" s="390"/>
      <c r="AO27" s="337"/>
      <c r="AP27" s="390"/>
    </row>
    <row r="28" spans="1:42" ht="17.25" customHeight="1">
      <c r="A28" s="347"/>
      <c r="B28" s="348" t="s">
        <v>75</v>
      </c>
      <c r="C28" s="26"/>
      <c r="D28" s="26"/>
      <c r="E28" s="26"/>
      <c r="F28" s="206" t="s">
        <v>76</v>
      </c>
      <c r="G28" s="26"/>
      <c r="H28" s="211"/>
      <c r="I28" s="317"/>
      <c r="J28" s="317"/>
      <c r="K28" s="318" t="s">
        <v>905</v>
      </c>
      <c r="L28" s="317"/>
      <c r="M28" s="317"/>
      <c r="N28" s="354"/>
      <c r="O28" s="810"/>
      <c r="P28" s="809"/>
      <c r="Q28" s="809"/>
      <c r="R28" s="809"/>
      <c r="S28" s="809"/>
      <c r="T28" s="809"/>
      <c r="AG28" s="337"/>
      <c r="AH28" s="390"/>
      <c r="AK28" s="391"/>
      <c r="AL28" s="390"/>
      <c r="AO28" s="337"/>
      <c r="AP28" s="390"/>
    </row>
    <row r="29" spans="1:42" ht="18" customHeight="1">
      <c r="A29" s="347"/>
      <c r="B29" s="818" t="s">
        <v>770</v>
      </c>
      <c r="C29" s="819"/>
      <c r="D29" s="819"/>
      <c r="E29" s="820"/>
      <c r="F29" s="816"/>
      <c r="G29" s="817"/>
      <c r="H29" s="211"/>
      <c r="I29" s="317"/>
      <c r="J29" s="317"/>
      <c r="K29" s="320" t="s">
        <v>1114</v>
      </c>
      <c r="L29" s="317"/>
      <c r="M29" s="317"/>
      <c r="N29" s="354"/>
      <c r="O29" s="810"/>
      <c r="P29" s="809"/>
      <c r="Q29" s="809"/>
      <c r="R29" s="809"/>
      <c r="S29" s="809"/>
      <c r="T29" s="809"/>
      <c r="AG29" s="337"/>
      <c r="AH29" s="390"/>
      <c r="AK29" s="391"/>
      <c r="AL29" s="390"/>
      <c r="AO29" s="337"/>
      <c r="AP29" s="390"/>
    </row>
    <row r="30" spans="1:42" ht="6" customHeight="1">
      <c r="A30" s="350"/>
      <c r="B30" s="821"/>
      <c r="C30" s="821"/>
      <c r="D30" s="821"/>
      <c r="E30" s="822"/>
      <c r="F30" s="351"/>
      <c r="G30" s="179"/>
      <c r="H30" s="355"/>
      <c r="I30" s="317"/>
      <c r="J30" s="358"/>
      <c r="K30" s="317"/>
      <c r="L30" s="317"/>
      <c r="M30" s="317"/>
      <c r="N30" s="354"/>
      <c r="O30" s="810"/>
      <c r="P30" s="809"/>
      <c r="Q30" s="809"/>
      <c r="R30" s="809"/>
      <c r="S30" s="809"/>
      <c r="T30" s="809"/>
      <c r="AG30" s="337"/>
      <c r="AH30" s="390"/>
      <c r="AK30" s="391"/>
      <c r="AL30" s="390"/>
      <c r="AO30" s="337"/>
      <c r="AP30" s="390"/>
    </row>
    <row r="31" spans="1:42" ht="15" customHeight="1">
      <c r="A31" s="347"/>
      <c r="B31" s="26" t="s">
        <v>87</v>
      </c>
      <c r="C31" s="26"/>
      <c r="D31" s="26"/>
      <c r="E31" s="26"/>
      <c r="F31" s="209" t="s">
        <v>76</v>
      </c>
      <c r="G31" s="26"/>
      <c r="H31" s="208"/>
      <c r="I31" s="317"/>
      <c r="J31" s="358"/>
      <c r="K31" s="317"/>
      <c r="L31" s="317"/>
      <c r="M31" s="317"/>
      <c r="N31" s="354"/>
      <c r="O31" s="808" t="s">
        <v>589</v>
      </c>
      <c r="P31" s="811"/>
      <c r="Q31" s="811"/>
      <c r="R31" s="811"/>
      <c r="S31" s="811"/>
      <c r="T31" s="811"/>
      <c r="AA31" s="1">
        <f>COUNTBLANK($F$29)</f>
        <v>1</v>
      </c>
      <c r="AG31" s="337"/>
      <c r="AH31" s="390"/>
      <c r="AK31" s="391"/>
      <c r="AL31" s="390"/>
      <c r="AO31" s="337"/>
      <c r="AP31" s="390"/>
    </row>
    <row r="32" spans="1:42" ht="5.25" customHeight="1">
      <c r="A32" s="347"/>
      <c r="B32" s="26"/>
      <c r="C32" s="26"/>
      <c r="D32" s="26"/>
      <c r="E32" s="26"/>
      <c r="F32" s="209"/>
      <c r="G32" s="26"/>
      <c r="H32" s="211"/>
      <c r="I32" s="317"/>
      <c r="J32" s="317"/>
      <c r="K32" s="317"/>
      <c r="L32" s="317"/>
      <c r="M32" s="317"/>
      <c r="N32" s="354"/>
      <c r="O32" s="808"/>
      <c r="P32" s="811"/>
      <c r="Q32" s="811"/>
      <c r="R32" s="811"/>
      <c r="S32" s="811"/>
      <c r="T32" s="811"/>
      <c r="AG32" s="337"/>
      <c r="AH32" s="390"/>
      <c r="AK32" s="391"/>
      <c r="AL32" s="390"/>
      <c r="AO32" s="337"/>
      <c r="AP32" s="390"/>
    </row>
    <row r="33" spans="1:42" ht="20.25">
      <c r="A33" s="347"/>
      <c r="B33" s="813" t="s">
        <v>770</v>
      </c>
      <c r="C33" s="814"/>
      <c r="D33" s="814"/>
      <c r="E33" s="815"/>
      <c r="F33" s="816"/>
      <c r="G33" s="817"/>
      <c r="H33" s="211"/>
      <c r="I33" s="317"/>
      <c r="J33" s="317"/>
      <c r="K33" s="317"/>
      <c r="L33" s="317"/>
      <c r="M33" s="317"/>
      <c r="N33" s="354"/>
      <c r="O33" s="808"/>
      <c r="P33" s="811"/>
      <c r="Q33" s="811"/>
      <c r="R33" s="811"/>
      <c r="S33" s="811"/>
      <c r="T33" s="811"/>
      <c r="AG33" s="337"/>
      <c r="AH33" s="390"/>
      <c r="AK33" s="391"/>
      <c r="AL33" s="390"/>
      <c r="AO33" s="337"/>
      <c r="AP33" s="390"/>
    </row>
    <row r="34" spans="1:42" ht="5.25" customHeight="1" thickBot="1">
      <c r="A34" s="359"/>
      <c r="B34" s="360"/>
      <c r="C34" s="360"/>
      <c r="D34" s="360"/>
      <c r="E34" s="360"/>
      <c r="F34" s="361"/>
      <c r="G34" s="360"/>
      <c r="H34" s="362"/>
      <c r="I34" s="363"/>
      <c r="J34" s="363"/>
      <c r="K34" s="363"/>
      <c r="L34" s="363"/>
      <c r="M34" s="363"/>
      <c r="N34" s="364"/>
      <c r="O34" s="808"/>
      <c r="P34" s="811"/>
      <c r="Q34" s="811"/>
      <c r="R34" s="811"/>
      <c r="S34" s="811"/>
      <c r="T34" s="811"/>
      <c r="AG34" s="337"/>
      <c r="AH34" s="390"/>
      <c r="AK34" s="391"/>
      <c r="AL34" s="390"/>
      <c r="AO34" s="337"/>
      <c r="AP34" s="390"/>
    </row>
    <row r="35" spans="1:42" ht="6" customHeight="1" thickBot="1" thickTop="1">
      <c r="A35" s="365"/>
      <c r="B35" s="26"/>
      <c r="C35" s="26"/>
      <c r="D35" s="26"/>
      <c r="E35" s="26"/>
      <c r="F35" s="26"/>
      <c r="G35" s="26"/>
      <c r="H35" s="26"/>
      <c r="I35" s="366"/>
      <c r="J35" s="366"/>
      <c r="K35" s="366"/>
      <c r="L35" s="366"/>
      <c r="M35" s="366"/>
      <c r="N35" s="367"/>
      <c r="O35" s="808"/>
      <c r="P35" s="811"/>
      <c r="Q35" s="811"/>
      <c r="R35" s="811"/>
      <c r="S35" s="811"/>
      <c r="T35" s="811"/>
      <c r="AG35" s="337"/>
      <c r="AH35" s="390"/>
      <c r="AK35" s="391"/>
      <c r="AL35" s="390"/>
      <c r="AO35" s="337"/>
      <c r="AP35" s="390"/>
    </row>
    <row r="36" spans="1:42" ht="18.75" thickTop="1">
      <c r="A36" s="368"/>
      <c r="B36" s="369" t="s">
        <v>98</v>
      </c>
      <c r="C36" s="370"/>
      <c r="D36" s="370"/>
      <c r="E36" s="371"/>
      <c r="F36" s="370"/>
      <c r="G36" s="370"/>
      <c r="H36" s="370"/>
      <c r="I36" s="370"/>
      <c r="J36" s="370"/>
      <c r="K36" s="370"/>
      <c r="L36" s="370"/>
      <c r="M36" s="138" t="str">
        <f>IF(COUNTBLANK(J14)=1,"Missing FFA Membership Number Above!"," ")</f>
        <v>Missing FFA Membership Number Above!</v>
      </c>
      <c r="N36" s="372"/>
      <c r="O36" s="808"/>
      <c r="P36" s="811"/>
      <c r="Q36" s="811"/>
      <c r="R36" s="811"/>
      <c r="S36" s="811"/>
      <c r="T36" s="811"/>
      <c r="AA36" s="1">
        <f>COUNTBLANK($F$33)</f>
        <v>1</v>
      </c>
      <c r="AG36" s="337"/>
      <c r="AH36" s="390"/>
      <c r="AK36" s="391"/>
      <c r="AL36" s="390"/>
      <c r="AO36" s="337"/>
      <c r="AP36" s="390"/>
    </row>
    <row r="37" spans="1:42" s="376" customFormat="1" ht="13.5" customHeight="1">
      <c r="A37" s="373"/>
      <c r="B37" s="374" t="s">
        <v>101</v>
      </c>
      <c r="C37" s="374"/>
      <c r="D37" s="374"/>
      <c r="E37" s="374"/>
      <c r="F37" s="374"/>
      <c r="G37" s="374"/>
      <c r="H37" s="374"/>
      <c r="I37" s="374"/>
      <c r="J37" s="374"/>
      <c r="K37" s="374"/>
      <c r="L37" s="374"/>
      <c r="M37" s="374"/>
      <c r="N37" s="375"/>
      <c r="AG37" s="337"/>
      <c r="AH37" s="390"/>
      <c r="AK37" s="391"/>
      <c r="AL37" s="390"/>
      <c r="AO37" s="337"/>
      <c r="AP37" s="390"/>
    </row>
    <row r="38" spans="1:42" s="376" customFormat="1" ht="13.5" customHeight="1">
      <c r="A38" s="377"/>
      <c r="B38" s="378" t="s">
        <v>104</v>
      </c>
      <c r="C38" s="378"/>
      <c r="D38" s="378"/>
      <c r="E38" s="378"/>
      <c r="F38" s="378"/>
      <c r="G38" s="378"/>
      <c r="H38" s="378"/>
      <c r="I38" s="378"/>
      <c r="J38" s="378"/>
      <c r="K38" s="378"/>
      <c r="L38" s="378"/>
      <c r="M38" s="378"/>
      <c r="N38" s="379"/>
      <c r="AG38" s="337"/>
      <c r="AH38" s="390"/>
      <c r="AK38" s="391"/>
      <c r="AL38" s="390"/>
      <c r="AO38" s="337"/>
      <c r="AP38" s="390"/>
    </row>
    <row r="39" spans="1:42" ht="3" customHeight="1">
      <c r="A39" s="347"/>
      <c r="B39" s="26"/>
      <c r="C39" s="26"/>
      <c r="D39" s="26"/>
      <c r="E39" s="26"/>
      <c r="F39" s="26"/>
      <c r="G39" s="26"/>
      <c r="H39" s="26"/>
      <c r="I39" s="206"/>
      <c r="J39" s="26"/>
      <c r="K39" s="26"/>
      <c r="L39" s="26"/>
      <c r="M39" s="26"/>
      <c r="N39" s="349"/>
      <c r="AG39" s="337"/>
      <c r="AH39" s="390"/>
      <c r="AK39" s="391"/>
      <c r="AL39" s="390"/>
      <c r="AO39" s="337"/>
      <c r="AP39" s="390"/>
    </row>
    <row r="40" spans="1:42" ht="12.75">
      <c r="A40" s="347"/>
      <c r="B40" s="348" t="s">
        <v>109</v>
      </c>
      <c r="C40" s="26"/>
      <c r="D40" s="26"/>
      <c r="E40" s="26"/>
      <c r="F40" s="26"/>
      <c r="G40" s="26"/>
      <c r="H40" s="26"/>
      <c r="I40" s="209"/>
      <c r="J40" s="348" t="s">
        <v>110</v>
      </c>
      <c r="K40" s="26"/>
      <c r="L40" s="26"/>
      <c r="M40" s="26"/>
      <c r="N40" s="349"/>
      <c r="AG40" s="337"/>
      <c r="AH40" s="390"/>
      <c r="AK40" s="391"/>
      <c r="AL40" s="390"/>
      <c r="AO40" s="337"/>
      <c r="AP40" s="390"/>
    </row>
    <row r="41" spans="1:42" ht="13.5" customHeight="1">
      <c r="A41" s="347"/>
      <c r="B41" s="26"/>
      <c r="C41" s="26"/>
      <c r="D41" s="26"/>
      <c r="E41" s="26"/>
      <c r="F41" s="26"/>
      <c r="G41" s="26"/>
      <c r="H41" s="26"/>
      <c r="I41" s="209"/>
      <c r="J41" s="26"/>
      <c r="K41" s="26"/>
      <c r="L41" s="26"/>
      <c r="M41" s="26"/>
      <c r="N41" s="349"/>
      <c r="P41" s="1">
        <v>1</v>
      </c>
      <c r="AG41" s="337"/>
      <c r="AH41" s="390"/>
      <c r="AK41" s="391"/>
      <c r="AL41" s="390"/>
      <c r="AO41" s="337"/>
      <c r="AP41" s="390"/>
    </row>
    <row r="42" spans="1:42" ht="13.5" customHeight="1">
      <c r="A42" s="347"/>
      <c r="B42" s="179"/>
      <c r="C42" s="179"/>
      <c r="D42" s="179"/>
      <c r="E42" s="179"/>
      <c r="F42" s="179"/>
      <c r="G42" s="179"/>
      <c r="H42" s="26"/>
      <c r="I42" s="209"/>
      <c r="J42" s="179"/>
      <c r="K42" s="179"/>
      <c r="L42" s="179"/>
      <c r="M42" s="179"/>
      <c r="N42" s="349"/>
      <c r="AG42" s="337"/>
      <c r="AH42" s="390"/>
      <c r="AK42" s="391"/>
      <c r="AL42" s="390"/>
      <c r="AO42" s="337"/>
      <c r="AP42" s="390"/>
    </row>
    <row r="43" spans="1:42" ht="3" customHeight="1">
      <c r="A43" s="350"/>
      <c r="B43" s="179"/>
      <c r="C43" s="179"/>
      <c r="D43" s="179"/>
      <c r="E43" s="179"/>
      <c r="F43" s="179"/>
      <c r="G43" s="179"/>
      <c r="H43" s="179"/>
      <c r="I43" s="351"/>
      <c r="J43" s="179"/>
      <c r="K43" s="179"/>
      <c r="L43" s="179"/>
      <c r="M43" s="179"/>
      <c r="N43" s="352"/>
      <c r="AG43" s="337"/>
      <c r="AH43" s="390"/>
      <c r="AK43" s="391"/>
      <c r="AL43" s="390"/>
      <c r="AO43" s="337"/>
      <c r="AP43" s="390"/>
    </row>
    <row r="44" spans="1:42" s="376" customFormat="1" ht="13.5" customHeight="1">
      <c r="A44" s="373"/>
      <c r="B44" s="380" t="s">
        <v>118</v>
      </c>
      <c r="C44" s="374"/>
      <c r="D44" s="374"/>
      <c r="E44" s="374"/>
      <c r="F44" s="374"/>
      <c r="G44" s="374"/>
      <c r="H44" s="374"/>
      <c r="I44" s="374"/>
      <c r="J44" s="374"/>
      <c r="K44" s="374"/>
      <c r="L44" s="374"/>
      <c r="M44" s="374"/>
      <c r="N44" s="375"/>
      <c r="AG44" s="337"/>
      <c r="AH44" s="390"/>
      <c r="AK44" s="391"/>
      <c r="AL44" s="390"/>
      <c r="AO44" s="337"/>
      <c r="AP44" s="390"/>
    </row>
    <row r="45" spans="1:42" s="376" customFormat="1" ht="13.5" customHeight="1">
      <c r="A45" s="377"/>
      <c r="B45" s="381" t="s">
        <v>121</v>
      </c>
      <c r="C45" s="378"/>
      <c r="D45" s="378"/>
      <c r="E45" s="378"/>
      <c r="F45" s="378"/>
      <c r="G45" s="378"/>
      <c r="H45" s="378"/>
      <c r="I45" s="378"/>
      <c r="J45" s="378"/>
      <c r="K45" s="378"/>
      <c r="L45" s="378"/>
      <c r="M45" s="378"/>
      <c r="N45" s="379"/>
      <c r="AG45" s="337"/>
      <c r="AH45" s="390"/>
      <c r="AK45" s="391"/>
      <c r="AL45" s="390"/>
      <c r="AO45" s="337"/>
      <c r="AP45" s="390"/>
    </row>
    <row r="46" spans="1:42" ht="2.25" customHeight="1">
      <c r="A46" s="347"/>
      <c r="B46" s="348"/>
      <c r="C46" s="26"/>
      <c r="D46" s="26"/>
      <c r="E46" s="26"/>
      <c r="F46" s="26"/>
      <c r="G46" s="26"/>
      <c r="H46" s="26"/>
      <c r="I46" s="206"/>
      <c r="J46" s="26"/>
      <c r="K46" s="26"/>
      <c r="L46" s="26"/>
      <c r="M46" s="26"/>
      <c r="N46" s="349"/>
      <c r="AG46" s="337"/>
      <c r="AH46" s="390"/>
      <c r="AK46" s="391"/>
      <c r="AL46" s="390"/>
      <c r="AO46" s="337"/>
      <c r="AP46" s="390"/>
    </row>
    <row r="47" spans="1:42" ht="12.75">
      <c r="A47" s="347"/>
      <c r="B47" s="348" t="s">
        <v>126</v>
      </c>
      <c r="C47" s="26"/>
      <c r="D47" s="26"/>
      <c r="E47" s="26"/>
      <c r="F47" s="26"/>
      <c r="G47" s="26"/>
      <c r="H47" s="26"/>
      <c r="I47" s="209"/>
      <c r="J47" s="348" t="s">
        <v>127</v>
      </c>
      <c r="K47" s="26"/>
      <c r="L47" s="26"/>
      <c r="M47" s="26"/>
      <c r="N47" s="349"/>
      <c r="AG47" s="337"/>
      <c r="AH47" s="390"/>
      <c r="AK47" s="391"/>
      <c r="AL47" s="390"/>
      <c r="AO47" s="337"/>
      <c r="AP47" s="390"/>
    </row>
    <row r="48" spans="1:42" ht="13.5" customHeight="1">
      <c r="A48" s="347"/>
      <c r="B48" s="26"/>
      <c r="C48" s="26"/>
      <c r="D48" s="26"/>
      <c r="E48" s="26"/>
      <c r="F48" s="26"/>
      <c r="G48" s="26"/>
      <c r="H48" s="26"/>
      <c r="I48" s="209"/>
      <c r="J48" s="26"/>
      <c r="K48" s="26"/>
      <c r="L48" s="26"/>
      <c r="M48" s="26"/>
      <c r="N48" s="349"/>
      <c r="AG48" s="337"/>
      <c r="AH48" s="390"/>
      <c r="AK48" s="391"/>
      <c r="AL48" s="390"/>
      <c r="AO48" s="337"/>
      <c r="AP48" s="390"/>
    </row>
    <row r="49" spans="1:42" ht="13.5" customHeight="1">
      <c r="A49" s="347"/>
      <c r="B49" s="179"/>
      <c r="C49" s="179"/>
      <c r="D49" s="179"/>
      <c r="E49" s="179"/>
      <c r="F49" s="179"/>
      <c r="G49" s="179"/>
      <c r="H49" s="26"/>
      <c r="I49" s="209"/>
      <c r="J49" s="179"/>
      <c r="K49" s="179"/>
      <c r="L49" s="179"/>
      <c r="M49" s="179"/>
      <c r="N49" s="349"/>
      <c r="AG49" s="337"/>
      <c r="AH49" s="390"/>
      <c r="AK49" s="391"/>
      <c r="AL49" s="390"/>
      <c r="AO49" s="337"/>
      <c r="AP49" s="390"/>
    </row>
    <row r="50" spans="1:42" ht="3.75" customHeight="1">
      <c r="A50" s="350"/>
      <c r="B50" s="179"/>
      <c r="C50" s="179"/>
      <c r="D50" s="179"/>
      <c r="E50" s="179"/>
      <c r="F50" s="179"/>
      <c r="G50" s="179"/>
      <c r="H50" s="179"/>
      <c r="I50" s="351"/>
      <c r="J50" s="179"/>
      <c r="K50" s="179"/>
      <c r="L50" s="179"/>
      <c r="M50" s="179"/>
      <c r="N50" s="352"/>
      <c r="AG50" s="337"/>
      <c r="AH50" s="390"/>
      <c r="AK50" s="391"/>
      <c r="AL50" s="390"/>
      <c r="AO50" s="337"/>
      <c r="AP50" s="390"/>
    </row>
    <row r="51" spans="1:42" ht="12.75">
      <c r="A51" s="350"/>
      <c r="B51" s="382" t="s">
        <v>135</v>
      </c>
      <c r="C51" s="179"/>
      <c r="D51" s="179"/>
      <c r="E51" s="179"/>
      <c r="F51" s="179"/>
      <c r="G51" s="179"/>
      <c r="H51" s="179"/>
      <c r="I51" s="179"/>
      <c r="J51" s="179"/>
      <c r="K51" s="179"/>
      <c r="L51" s="179"/>
      <c r="M51" s="179"/>
      <c r="N51" s="352"/>
      <c r="AG51" s="337"/>
      <c r="AH51" s="390"/>
      <c r="AK51" s="391"/>
      <c r="AL51" s="390"/>
      <c r="AO51" s="337"/>
      <c r="AP51" s="390"/>
    </row>
    <row r="52" spans="1:42" ht="12.75">
      <c r="A52" s="347"/>
      <c r="B52" s="348" t="s">
        <v>138</v>
      </c>
      <c r="C52" s="26"/>
      <c r="D52" s="26"/>
      <c r="E52" s="26"/>
      <c r="F52" s="26"/>
      <c r="G52" s="26"/>
      <c r="H52" s="26"/>
      <c r="I52" s="383"/>
      <c r="J52" s="317"/>
      <c r="K52" s="317"/>
      <c r="L52" s="317"/>
      <c r="M52" s="317"/>
      <c r="N52" s="354"/>
      <c r="AG52" s="337"/>
      <c r="AH52" s="390"/>
      <c r="AK52" s="391"/>
      <c r="AL52" s="390"/>
      <c r="AO52" s="337"/>
      <c r="AP52" s="390"/>
    </row>
    <row r="53" spans="1:42" ht="13.5" customHeight="1">
      <c r="A53" s="347"/>
      <c r="B53" s="26"/>
      <c r="C53" s="26"/>
      <c r="D53" s="26"/>
      <c r="E53" s="26"/>
      <c r="F53" s="26"/>
      <c r="G53" s="26"/>
      <c r="H53" s="26"/>
      <c r="I53" s="356"/>
      <c r="J53" s="317"/>
      <c r="K53" s="317"/>
      <c r="L53" s="317"/>
      <c r="M53" s="317"/>
      <c r="N53" s="354"/>
      <c r="AG53" s="337"/>
      <c r="AH53" s="390"/>
      <c r="AK53" s="391"/>
      <c r="AL53" s="390"/>
      <c r="AO53" s="337"/>
      <c r="AP53" s="390"/>
    </row>
    <row r="54" spans="1:42" ht="13.5" customHeight="1">
      <c r="A54" s="347"/>
      <c r="B54" s="179"/>
      <c r="C54" s="179"/>
      <c r="D54" s="179"/>
      <c r="E54" s="179"/>
      <c r="F54" s="179"/>
      <c r="G54" s="179"/>
      <c r="H54" s="26"/>
      <c r="I54" s="356"/>
      <c r="J54" s="317"/>
      <c r="K54" s="317"/>
      <c r="L54" s="317"/>
      <c r="M54" s="317"/>
      <c r="N54" s="354"/>
      <c r="AG54" s="337"/>
      <c r="AH54" s="390"/>
      <c r="AK54" s="391"/>
      <c r="AL54" s="390"/>
      <c r="AO54" s="337"/>
      <c r="AP54" s="390"/>
    </row>
    <row r="55" spans="1:42" ht="3.75" customHeight="1" thickBot="1">
      <c r="A55" s="384"/>
      <c r="B55" s="385"/>
      <c r="C55" s="385"/>
      <c r="D55" s="385"/>
      <c r="E55" s="385"/>
      <c r="F55" s="385"/>
      <c r="G55" s="385"/>
      <c r="H55" s="385"/>
      <c r="I55" s="386"/>
      <c r="J55" s="387"/>
      <c r="K55" s="387"/>
      <c r="L55" s="387"/>
      <c r="M55" s="387"/>
      <c r="N55" s="388"/>
      <c r="AG55" s="337"/>
      <c r="AH55" s="390"/>
      <c r="AK55" s="391"/>
      <c r="AL55" s="390"/>
      <c r="AO55" s="337"/>
      <c r="AP55" s="390"/>
    </row>
    <row r="56" spans="2:42" ht="13.5" thickTop="1">
      <c r="B56" s="632" t="s">
        <v>1497</v>
      </c>
      <c r="G56" s="642" t="s">
        <v>589</v>
      </c>
      <c r="J56" s="798">
        <f ca="1">NOW()</f>
        <v>45188.54951967593</v>
      </c>
      <c r="K56" s="798"/>
      <c r="L56" s="389"/>
      <c r="M56" s="760">
        <f>Cover!$J$14</f>
        <v>0</v>
      </c>
      <c r="AG56" s="337"/>
      <c r="AH56" s="390"/>
      <c r="AK56" s="391"/>
      <c r="AL56" s="390"/>
      <c r="AO56" s="337"/>
      <c r="AP56" s="390"/>
    </row>
    <row r="57" spans="33:42" ht="12.75">
      <c r="AG57" s="337"/>
      <c r="AH57" s="390"/>
      <c r="AK57" s="391"/>
      <c r="AL57" s="390"/>
      <c r="AO57" s="337"/>
      <c r="AP57" s="390"/>
    </row>
    <row r="58" spans="33:42" ht="12.75" hidden="1">
      <c r="AG58" s="337"/>
      <c r="AH58" s="390"/>
      <c r="AK58" s="391"/>
      <c r="AL58" s="390"/>
      <c r="AO58" s="337"/>
      <c r="AP58" s="390"/>
    </row>
    <row r="59" spans="33:42" ht="12.75" hidden="1">
      <c r="AG59" s="337"/>
      <c r="AH59" s="390"/>
      <c r="AK59" s="391"/>
      <c r="AL59" s="390"/>
      <c r="AO59" s="337"/>
      <c r="AP59" s="390"/>
    </row>
    <row r="60" spans="3:42" ht="12.75" hidden="1">
      <c r="C60" s="1">
        <v>1</v>
      </c>
      <c r="D60" s="1" t="s">
        <v>747</v>
      </c>
      <c r="AG60" s="337"/>
      <c r="AH60" s="390"/>
      <c r="AK60" s="391"/>
      <c r="AL60" s="390"/>
      <c r="AO60" s="337"/>
      <c r="AP60" s="390"/>
    </row>
    <row r="61" spans="3:7" ht="12.75" hidden="1">
      <c r="C61" s="1">
        <v>2</v>
      </c>
      <c r="D61" s="1" t="s">
        <v>745</v>
      </c>
      <c r="G61" s="1" t="s">
        <v>747</v>
      </c>
    </row>
    <row r="62" spans="3:4" ht="12.75" hidden="1">
      <c r="C62" s="1">
        <v>3</v>
      </c>
      <c r="D62" s="1" t="s">
        <v>591</v>
      </c>
    </row>
    <row r="63" spans="3:4" ht="12.75" hidden="1">
      <c r="C63" s="1">
        <v>4</v>
      </c>
      <c r="D63" s="1" t="s">
        <v>606</v>
      </c>
    </row>
    <row r="64" spans="3:4" ht="12.75" hidden="1">
      <c r="C64" s="1">
        <v>5</v>
      </c>
      <c r="D64" s="1" t="s">
        <v>1113</v>
      </c>
    </row>
    <row r="65" ht="12.75" hidden="1">
      <c r="AC65" s="1" t="s">
        <v>589</v>
      </c>
    </row>
    <row r="66" spans="4:12" ht="12.75" hidden="1">
      <c r="D66" s="1" t="s">
        <v>770</v>
      </c>
      <c r="G66" s="1" t="s">
        <v>770</v>
      </c>
      <c r="J66" s="1">
        <f>IF(G66="NO",0,1)</f>
        <v>1</v>
      </c>
      <c r="L66" s="1">
        <f>COUNTBLANK(J14)</f>
        <v>1</v>
      </c>
    </row>
    <row r="67" spans="4:10" ht="12.75" hidden="1">
      <c r="D67" s="1" t="s">
        <v>81</v>
      </c>
      <c r="G67" s="1" t="s">
        <v>770</v>
      </c>
      <c r="J67" s="1">
        <f>IF(G67="NO",0,1)</f>
        <v>1</v>
      </c>
    </row>
    <row r="68" spans="4:11" ht="12.75" hidden="1">
      <c r="D68" s="1" t="s">
        <v>82</v>
      </c>
      <c r="J68" s="1">
        <f>SUM(J66:J67)</f>
        <v>2</v>
      </c>
      <c r="K68" s="1" t="str">
        <f>IF(J68&gt;0," Missing Tax Response Above!"," ")</f>
        <v> Missing Tax Response Above!</v>
      </c>
    </row>
    <row r="69" ht="12.75" hidden="1">
      <c r="G69" s="1">
        <f>COUNTBLANK(F29)</f>
        <v>1</v>
      </c>
    </row>
    <row r="70" spans="7:29" ht="12.75" hidden="1">
      <c r="G70" s="1">
        <f>COUNTBLANK(F33)</f>
        <v>1</v>
      </c>
      <c r="AC70" s="1" t="s">
        <v>769</v>
      </c>
    </row>
    <row r="71" ht="12.75" hidden="1">
      <c r="G71" s="1">
        <f>SUM(G69:G70)</f>
        <v>2</v>
      </c>
    </row>
    <row r="72" ht="12.75" hidden="1">
      <c r="AC72" s="1">
        <v>89</v>
      </c>
    </row>
    <row r="73" spans="7:30" ht="12.75" hidden="1">
      <c r="G73" s="1">
        <f>IF(J66=1,IF(G69=0,1,5))</f>
        <v>5</v>
      </c>
      <c r="AB73" s="1">
        <v>1</v>
      </c>
      <c r="AC73" s="1" t="s">
        <v>769</v>
      </c>
      <c r="AD73" s="237" t="s">
        <v>589</v>
      </c>
    </row>
    <row r="74" spans="7:31" ht="12.75" hidden="1">
      <c r="G74" s="1">
        <f>IF(J67=1,IF(G70=0,1,5))</f>
        <v>5</v>
      </c>
      <c r="AB74" s="1">
        <v>2</v>
      </c>
      <c r="AC74" s="1" t="s">
        <v>758</v>
      </c>
      <c r="AD74" s="1" t="s">
        <v>726</v>
      </c>
      <c r="AE74" s="337"/>
    </row>
    <row r="75" spans="7:31" ht="12.75" hidden="1">
      <c r="G75" s="1">
        <f>SUM(G73:G74)</f>
        <v>10</v>
      </c>
      <c r="J75" s="1" t="str">
        <f>IF(G75&lt;=2," ","Missing Tax Year Above")</f>
        <v>Missing Tax Year Above</v>
      </c>
      <c r="AB75" s="1">
        <v>3</v>
      </c>
      <c r="AC75" s="394" t="s">
        <v>21</v>
      </c>
      <c r="AD75" s="394" t="s">
        <v>20</v>
      </c>
      <c r="AE75" s="337"/>
    </row>
    <row r="76" spans="28:32" ht="12.75" hidden="1">
      <c r="AB76" s="1">
        <v>4</v>
      </c>
      <c r="AC76" s="394" t="s">
        <v>24</v>
      </c>
      <c r="AD76" s="394" t="s">
        <v>23</v>
      </c>
      <c r="AE76" s="342"/>
      <c r="AF76" s="339"/>
    </row>
    <row r="77" spans="28:31" ht="12.75" hidden="1">
      <c r="AB77" s="1">
        <v>5</v>
      </c>
      <c r="AC77" s="395" t="s">
        <v>27</v>
      </c>
      <c r="AD77" s="395" t="s">
        <v>26</v>
      </c>
      <c r="AE77" s="337"/>
    </row>
    <row r="78" spans="28:31" ht="12.75" hidden="1">
      <c r="AB78" s="1">
        <v>6</v>
      </c>
      <c r="AC78" s="394" t="s">
        <v>29</v>
      </c>
      <c r="AD78" s="394" t="s">
        <v>28</v>
      </c>
      <c r="AE78" s="337"/>
    </row>
    <row r="79" spans="28:31" ht="12.75" hidden="1">
      <c r="AB79" s="1">
        <v>7</v>
      </c>
      <c r="AC79" s="394" t="s">
        <v>518</v>
      </c>
      <c r="AD79" s="394" t="s">
        <v>517</v>
      </c>
      <c r="AE79" s="337"/>
    </row>
    <row r="80" spans="28:31" ht="12.75" hidden="1">
      <c r="AB80" s="1">
        <v>8</v>
      </c>
      <c r="AC80" s="396" t="s">
        <v>980</v>
      </c>
      <c r="AD80" s="396" t="s">
        <v>971</v>
      </c>
      <c r="AE80" s="337"/>
    </row>
    <row r="81" spans="28:31" ht="12.75" hidden="1">
      <c r="AB81" s="1">
        <v>9</v>
      </c>
      <c r="AC81" s="394" t="s">
        <v>33</v>
      </c>
      <c r="AD81" s="394" t="s">
        <v>32</v>
      </c>
      <c r="AE81" s="337"/>
    </row>
    <row r="82" spans="28:31" ht="12.75" hidden="1">
      <c r="AB82" s="1">
        <v>10</v>
      </c>
      <c r="AC82" s="394" t="s">
        <v>38</v>
      </c>
      <c r="AD82" s="394" t="s">
        <v>37</v>
      </c>
      <c r="AE82" s="337"/>
    </row>
    <row r="83" spans="28:31" ht="12.75" hidden="1">
      <c r="AB83" s="1">
        <v>11</v>
      </c>
      <c r="AC83" s="394" t="s">
        <v>42</v>
      </c>
      <c r="AD83" s="394" t="s">
        <v>41</v>
      </c>
      <c r="AE83" s="337"/>
    </row>
    <row r="84" spans="28:31" ht="12.75" hidden="1">
      <c r="AB84" s="1">
        <v>12</v>
      </c>
      <c r="AC84" s="394" t="s">
        <v>566</v>
      </c>
      <c r="AD84" s="394" t="s">
        <v>565</v>
      </c>
      <c r="AE84" s="337"/>
    </row>
    <row r="85" spans="28:31" ht="12.75" hidden="1">
      <c r="AB85" s="1">
        <v>13</v>
      </c>
      <c r="AC85" s="394" t="s">
        <v>750</v>
      </c>
      <c r="AD85" s="394" t="s">
        <v>487</v>
      </c>
      <c r="AE85" s="337"/>
    </row>
    <row r="86" spans="28:31" ht="12.75" hidden="1">
      <c r="AB86" s="1">
        <v>14</v>
      </c>
      <c r="AC86" s="394" t="s">
        <v>44</v>
      </c>
      <c r="AD86" s="394" t="s">
        <v>43</v>
      </c>
      <c r="AE86" s="337"/>
    </row>
    <row r="87" spans="28:31" ht="12.75" hidden="1">
      <c r="AB87" s="1">
        <v>15</v>
      </c>
      <c r="AC87" s="394" t="s">
        <v>48</v>
      </c>
      <c r="AD87" s="394" t="s">
        <v>47</v>
      </c>
      <c r="AE87" s="337"/>
    </row>
    <row r="88" spans="28:31" ht="12.75" hidden="1">
      <c r="AB88" s="1">
        <v>16</v>
      </c>
      <c r="AC88" s="394" t="s">
        <v>50</v>
      </c>
      <c r="AD88" s="394" t="s">
        <v>49</v>
      </c>
      <c r="AE88" s="337"/>
    </row>
    <row r="89" spans="28:31" ht="12.75" hidden="1">
      <c r="AB89" s="1">
        <v>17</v>
      </c>
      <c r="AC89" s="394" t="s">
        <v>943</v>
      </c>
      <c r="AD89" s="394" t="s">
        <v>944</v>
      </c>
      <c r="AE89" s="337"/>
    </row>
    <row r="90" spans="28:31" ht="12.75" hidden="1">
      <c r="AB90" s="1">
        <v>18</v>
      </c>
      <c r="AC90" s="394" t="s">
        <v>53</v>
      </c>
      <c r="AD90" s="394" t="s">
        <v>52</v>
      </c>
      <c r="AE90" s="337"/>
    </row>
    <row r="91" spans="28:31" ht="12.75" hidden="1">
      <c r="AB91" s="1">
        <v>19</v>
      </c>
      <c r="AC91" s="394" t="s">
        <v>1514</v>
      </c>
      <c r="AD91" s="394" t="s">
        <v>1515</v>
      </c>
      <c r="AE91" s="337"/>
    </row>
    <row r="92" spans="28:31" ht="12.75" hidden="1">
      <c r="AB92" s="1">
        <v>20</v>
      </c>
      <c r="AC92" s="394" t="s">
        <v>945</v>
      </c>
      <c r="AD92" s="394" t="s">
        <v>946</v>
      </c>
      <c r="AE92" s="337"/>
    </row>
    <row r="93" spans="28:31" ht="12.75" hidden="1">
      <c r="AB93" s="1">
        <v>21</v>
      </c>
      <c r="AC93" s="394" t="s">
        <v>57</v>
      </c>
      <c r="AD93" s="394" t="s">
        <v>56</v>
      </c>
      <c r="AE93" s="337"/>
    </row>
    <row r="94" spans="28:31" ht="12.75" hidden="1">
      <c r="AB94" s="1">
        <v>22</v>
      </c>
      <c r="AC94" s="394" t="s">
        <v>1197</v>
      </c>
      <c r="AD94" s="394" t="s">
        <v>1198</v>
      </c>
      <c r="AE94" s="337"/>
    </row>
    <row r="95" spans="28:31" ht="12.75" hidden="1">
      <c r="AB95" s="1">
        <v>23</v>
      </c>
      <c r="AC95" s="394" t="s">
        <v>60</v>
      </c>
      <c r="AD95" s="394" t="s">
        <v>59</v>
      </c>
      <c r="AE95" s="337"/>
    </row>
    <row r="96" spans="28:31" ht="12.75" hidden="1">
      <c r="AB96" s="1">
        <v>24</v>
      </c>
      <c r="AC96" s="394" t="s">
        <v>1236</v>
      </c>
      <c r="AD96" s="394" t="s">
        <v>1237</v>
      </c>
      <c r="AE96" s="337"/>
    </row>
    <row r="97" spans="28:31" ht="12.75" hidden="1">
      <c r="AB97" s="1">
        <v>25</v>
      </c>
      <c r="AC97" s="394" t="s">
        <v>66</v>
      </c>
      <c r="AD97" s="394" t="s">
        <v>65</v>
      </c>
      <c r="AE97" s="337"/>
    </row>
    <row r="98" spans="28:31" ht="12.75" hidden="1">
      <c r="AB98" s="1">
        <v>26</v>
      </c>
      <c r="AC98" s="396" t="s">
        <v>1493</v>
      </c>
      <c r="AD98" s="396" t="s">
        <v>1494</v>
      </c>
      <c r="AE98" s="337"/>
    </row>
    <row r="99" spans="28:31" ht="12.75" hidden="1">
      <c r="AB99" s="1">
        <v>27</v>
      </c>
      <c r="AC99" s="394" t="s">
        <v>909</v>
      </c>
      <c r="AD99" s="394" t="s">
        <v>910</v>
      </c>
      <c r="AE99" s="337"/>
    </row>
    <row r="100" spans="28:31" ht="12.75" hidden="1">
      <c r="AB100" s="1">
        <v>28</v>
      </c>
      <c r="AC100" s="394" t="s">
        <v>963</v>
      </c>
      <c r="AD100" s="394" t="s">
        <v>964</v>
      </c>
      <c r="AE100" s="337"/>
    </row>
    <row r="101" spans="28:31" ht="12.75" hidden="1">
      <c r="AB101" s="1">
        <v>29</v>
      </c>
      <c r="AC101" s="394" t="s">
        <v>68</v>
      </c>
      <c r="AD101" s="394" t="s">
        <v>67</v>
      </c>
      <c r="AE101" s="337"/>
    </row>
    <row r="102" spans="28:31" ht="12.75" hidden="1">
      <c r="AB102" s="1">
        <v>30</v>
      </c>
      <c r="AC102" s="394" t="s">
        <v>70</v>
      </c>
      <c r="AD102" s="394" t="s">
        <v>69</v>
      </c>
      <c r="AE102" s="337"/>
    </row>
    <row r="103" spans="28:31" ht="12.75" hidden="1">
      <c r="AB103" s="1">
        <v>31</v>
      </c>
      <c r="AC103" s="394" t="s">
        <v>972</v>
      </c>
      <c r="AD103" s="394" t="s">
        <v>973</v>
      </c>
      <c r="AE103" s="337"/>
    </row>
    <row r="104" spans="28:31" ht="12.75" hidden="1">
      <c r="AB104" s="1">
        <v>32</v>
      </c>
      <c r="AC104" s="1" t="s">
        <v>727</v>
      </c>
      <c r="AD104" s="1" t="s">
        <v>728</v>
      </c>
      <c r="AE104" s="337"/>
    </row>
    <row r="105" spans="28:31" ht="12.75" hidden="1">
      <c r="AB105" s="1">
        <v>33</v>
      </c>
      <c r="AC105" s="394" t="s">
        <v>72</v>
      </c>
      <c r="AD105" s="394" t="s">
        <v>71</v>
      </c>
      <c r="AE105" s="337"/>
    </row>
    <row r="106" spans="28:31" ht="12.75" hidden="1">
      <c r="AB106" s="1">
        <v>34</v>
      </c>
      <c r="AC106" s="394" t="s">
        <v>548</v>
      </c>
      <c r="AD106" s="394" t="s">
        <v>547</v>
      </c>
      <c r="AE106" s="337"/>
    </row>
    <row r="107" spans="28:32" ht="12.75" hidden="1">
      <c r="AB107" s="1">
        <v>35</v>
      </c>
      <c r="AC107" s="394" t="s">
        <v>74</v>
      </c>
      <c r="AD107" s="394" t="s">
        <v>73</v>
      </c>
      <c r="AE107" s="337"/>
      <c r="AF107" s="376"/>
    </row>
    <row r="108" spans="28:32" ht="12.75" hidden="1">
      <c r="AB108" s="1">
        <v>36</v>
      </c>
      <c r="AC108" s="394" t="s">
        <v>78</v>
      </c>
      <c r="AD108" s="394" t="s">
        <v>77</v>
      </c>
      <c r="AE108" s="337"/>
      <c r="AF108" s="376"/>
    </row>
    <row r="109" spans="28:31" ht="12.75" hidden="1">
      <c r="AB109" s="1">
        <v>37</v>
      </c>
      <c r="AC109" s="394" t="s">
        <v>925</v>
      </c>
      <c r="AD109" s="394" t="s">
        <v>969</v>
      </c>
      <c r="AE109" s="337"/>
    </row>
    <row r="110" spans="28:31" ht="12.75" hidden="1">
      <c r="AB110" s="1">
        <v>38</v>
      </c>
      <c r="AC110" s="394" t="s">
        <v>80</v>
      </c>
      <c r="AD110" s="394" t="s">
        <v>79</v>
      </c>
      <c r="AE110" s="337"/>
    </row>
    <row r="111" spans="28:31" ht="12.75" hidden="1">
      <c r="AB111" s="1">
        <v>39</v>
      </c>
      <c r="AC111" s="394" t="s">
        <v>313</v>
      </c>
      <c r="AD111" s="394" t="s">
        <v>312</v>
      </c>
      <c r="AE111" s="337"/>
    </row>
    <row r="112" spans="28:31" ht="12.75" hidden="1">
      <c r="AB112" s="1">
        <v>40</v>
      </c>
      <c r="AC112" s="394" t="s">
        <v>89</v>
      </c>
      <c r="AD112" s="394" t="s">
        <v>88</v>
      </c>
      <c r="AE112" s="337"/>
    </row>
    <row r="113" spans="28:31" ht="12.75" hidden="1">
      <c r="AB113" s="1">
        <v>41</v>
      </c>
      <c r="AC113" s="394" t="s">
        <v>560</v>
      </c>
      <c r="AD113" s="394" t="s">
        <v>559</v>
      </c>
      <c r="AE113" s="337"/>
    </row>
    <row r="114" spans="28:32" ht="12.75" hidden="1">
      <c r="AB114" s="1">
        <v>42</v>
      </c>
      <c r="AC114" s="394" t="s">
        <v>91</v>
      </c>
      <c r="AD114" s="394" t="s">
        <v>90</v>
      </c>
      <c r="AE114" s="337"/>
      <c r="AF114" s="376"/>
    </row>
    <row r="115" spans="28:32" ht="12.75" hidden="1">
      <c r="AB115" s="1">
        <v>43</v>
      </c>
      <c r="AC115" s="394" t="s">
        <v>93</v>
      </c>
      <c r="AD115" s="394" t="s">
        <v>92</v>
      </c>
      <c r="AE115" s="337"/>
      <c r="AF115" s="376"/>
    </row>
    <row r="116" spans="28:31" ht="12.75" hidden="1">
      <c r="AB116" s="1">
        <v>44</v>
      </c>
      <c r="AC116" s="394" t="s">
        <v>95</v>
      </c>
      <c r="AD116" s="394" t="s">
        <v>94</v>
      </c>
      <c r="AE116" s="337"/>
    </row>
    <row r="117" spans="28:31" ht="12.75" hidden="1">
      <c r="AB117" s="1">
        <v>45</v>
      </c>
      <c r="AC117" s="394" t="s">
        <v>570</v>
      </c>
      <c r="AD117" s="394" t="s">
        <v>569</v>
      </c>
      <c r="AE117" s="337"/>
    </row>
    <row r="118" spans="28:31" ht="12.75" hidden="1">
      <c r="AB118" s="1">
        <v>46</v>
      </c>
      <c r="AC118" s="394" t="s">
        <v>100</v>
      </c>
      <c r="AD118" s="394" t="s">
        <v>99</v>
      </c>
      <c r="AE118" s="337"/>
    </row>
    <row r="119" spans="28:31" ht="12.75" hidden="1">
      <c r="AB119" s="1">
        <v>47</v>
      </c>
      <c r="AC119" s="394" t="s">
        <v>1111</v>
      </c>
      <c r="AD119" s="394" t="s">
        <v>1112</v>
      </c>
      <c r="AE119" s="337"/>
    </row>
    <row r="120" spans="28:31" ht="12.75" hidden="1">
      <c r="AB120" s="1">
        <v>48</v>
      </c>
      <c r="AC120" s="394" t="s">
        <v>103</v>
      </c>
      <c r="AD120" s="394" t="s">
        <v>102</v>
      </c>
      <c r="AE120" s="337"/>
    </row>
    <row r="121" spans="28:31" ht="12.75" hidden="1">
      <c r="AB121" s="1">
        <v>49</v>
      </c>
      <c r="AC121" s="394" t="s">
        <v>501</v>
      </c>
      <c r="AD121" s="394" t="s">
        <v>500</v>
      </c>
      <c r="AE121" s="337"/>
    </row>
    <row r="122" spans="28:31" ht="12.75" hidden="1">
      <c r="AB122" s="1">
        <v>50</v>
      </c>
      <c r="AC122" s="394" t="s">
        <v>907</v>
      </c>
      <c r="AD122" s="394" t="s">
        <v>908</v>
      </c>
      <c r="AE122" s="337"/>
    </row>
    <row r="123" spans="28:31" ht="12.75" hidden="1">
      <c r="AB123" s="1">
        <v>51</v>
      </c>
      <c r="AC123" s="394" t="s">
        <v>516</v>
      </c>
      <c r="AD123" s="394" t="s">
        <v>515</v>
      </c>
      <c r="AE123" s="337"/>
    </row>
    <row r="124" spans="28:31" ht="12.75" hidden="1">
      <c r="AB124" s="1">
        <v>52</v>
      </c>
      <c r="AC124" s="394" t="s">
        <v>108</v>
      </c>
      <c r="AD124" s="394" t="s">
        <v>107</v>
      </c>
      <c r="AE124" s="337"/>
    </row>
    <row r="125" spans="28:31" ht="12.75" hidden="1">
      <c r="AB125" s="1">
        <v>53</v>
      </c>
      <c r="AC125" s="394" t="s">
        <v>788</v>
      </c>
      <c r="AD125" s="394" t="s">
        <v>111</v>
      </c>
      <c r="AE125" s="337"/>
    </row>
    <row r="126" spans="28:31" ht="12.75" hidden="1">
      <c r="AB126" s="1">
        <v>54</v>
      </c>
      <c r="AC126" s="394" t="s">
        <v>113</v>
      </c>
      <c r="AD126" s="394" t="s">
        <v>112</v>
      </c>
      <c r="AE126" s="337"/>
    </row>
    <row r="127" spans="28:31" ht="12.75" hidden="1">
      <c r="AB127" s="1">
        <v>55</v>
      </c>
      <c r="AC127" s="394" t="s">
        <v>218</v>
      </c>
      <c r="AD127" s="394" t="s">
        <v>217</v>
      </c>
      <c r="AE127" s="337"/>
    </row>
    <row r="128" spans="28:31" ht="12.75" hidden="1">
      <c r="AB128" s="1">
        <v>56</v>
      </c>
      <c r="AC128" s="394" t="s">
        <v>115</v>
      </c>
      <c r="AD128" s="394" t="s">
        <v>114</v>
      </c>
      <c r="AE128" s="337"/>
    </row>
    <row r="129" spans="28:31" ht="12.75" hidden="1">
      <c r="AB129" s="1">
        <v>57</v>
      </c>
      <c r="AC129" s="394" t="s">
        <v>123</v>
      </c>
      <c r="AD129" s="394" t="s">
        <v>122</v>
      </c>
      <c r="AE129" s="337"/>
    </row>
    <row r="130" spans="28:31" ht="12.75" hidden="1">
      <c r="AB130" s="1">
        <v>58</v>
      </c>
      <c r="AC130" s="394" t="s">
        <v>572</v>
      </c>
      <c r="AD130" s="394" t="s">
        <v>571</v>
      </c>
      <c r="AE130" s="337"/>
    </row>
    <row r="131" spans="28:31" ht="12.75" hidden="1">
      <c r="AB131" s="1">
        <v>59</v>
      </c>
      <c r="AC131" s="394" t="s">
        <v>97</v>
      </c>
      <c r="AD131" s="394" t="s">
        <v>96</v>
      </c>
      <c r="AE131" s="337"/>
    </row>
    <row r="132" spans="28:30" ht="12.75" hidden="1">
      <c r="AB132" s="1">
        <v>60</v>
      </c>
      <c r="AC132" s="394" t="s">
        <v>125</v>
      </c>
      <c r="AD132" s="394" t="s">
        <v>124</v>
      </c>
    </row>
    <row r="133" spans="28:30" ht="12.75" hidden="1">
      <c r="AB133" s="1">
        <v>61</v>
      </c>
      <c r="AC133" s="394" t="s">
        <v>949</v>
      </c>
      <c r="AD133" s="394" t="s">
        <v>950</v>
      </c>
    </row>
    <row r="134" spans="28:30" ht="12.75" hidden="1">
      <c r="AB134" s="1">
        <v>62</v>
      </c>
      <c r="AC134" s="394" t="s">
        <v>129</v>
      </c>
      <c r="AD134" s="394" t="s">
        <v>128</v>
      </c>
    </row>
    <row r="135" spans="28:30" ht="12.75" hidden="1">
      <c r="AB135" s="1">
        <v>63</v>
      </c>
      <c r="AC135" s="394" t="s">
        <v>84</v>
      </c>
      <c r="AD135" s="394" t="s">
        <v>83</v>
      </c>
    </row>
    <row r="136" spans="28:30" ht="12.75" hidden="1">
      <c r="AB136" s="1">
        <v>64</v>
      </c>
      <c r="AC136" s="394" t="s">
        <v>1503</v>
      </c>
      <c r="AD136" s="394" t="s">
        <v>1502</v>
      </c>
    </row>
    <row r="137" spans="28:30" ht="12.75" hidden="1">
      <c r="AB137" s="1">
        <v>65</v>
      </c>
      <c r="AC137" s="394" t="s">
        <v>131</v>
      </c>
      <c r="AD137" s="394" t="s">
        <v>130</v>
      </c>
    </row>
    <row r="138" spans="28:30" ht="12.75" hidden="1">
      <c r="AB138" s="1">
        <v>66</v>
      </c>
      <c r="AC138" s="394" t="s">
        <v>1378</v>
      </c>
      <c r="AD138" s="394" t="s">
        <v>1379</v>
      </c>
    </row>
    <row r="139" spans="28:30" ht="12.75" hidden="1">
      <c r="AB139" s="1">
        <v>67</v>
      </c>
      <c r="AC139" s="394" t="s">
        <v>789</v>
      </c>
      <c r="AD139" s="394" t="s">
        <v>132</v>
      </c>
    </row>
    <row r="140" spans="28:30" ht="12.75" hidden="1">
      <c r="AB140" s="1">
        <v>68</v>
      </c>
      <c r="AC140" s="394" t="s">
        <v>134</v>
      </c>
      <c r="AD140" s="394" t="s">
        <v>133</v>
      </c>
    </row>
    <row r="141" spans="28:30" ht="12.75" hidden="1">
      <c r="AB141" s="1">
        <v>69</v>
      </c>
      <c r="AC141" s="394" t="s">
        <v>137</v>
      </c>
      <c r="AD141" s="394" t="s">
        <v>136</v>
      </c>
    </row>
    <row r="142" spans="28:30" ht="12.75" hidden="1">
      <c r="AB142" s="1">
        <v>70</v>
      </c>
      <c r="AC142" s="394" t="s">
        <v>224</v>
      </c>
      <c r="AD142" s="394" t="s">
        <v>223</v>
      </c>
    </row>
    <row r="143" spans="28:30" ht="12.75" hidden="1">
      <c r="AB143" s="1">
        <v>71</v>
      </c>
      <c r="AC143" s="394" t="s">
        <v>558</v>
      </c>
      <c r="AD143" s="394" t="s">
        <v>557</v>
      </c>
    </row>
    <row r="144" spans="28:30" ht="12.75" hidden="1">
      <c r="AB144" s="1">
        <v>72</v>
      </c>
      <c r="AC144" s="394" t="s">
        <v>142</v>
      </c>
      <c r="AD144" s="394" t="s">
        <v>141</v>
      </c>
    </row>
    <row r="145" spans="28:30" ht="12.75" hidden="1">
      <c r="AB145" s="1">
        <v>73</v>
      </c>
      <c r="AC145" s="394" t="s">
        <v>144</v>
      </c>
      <c r="AD145" s="394" t="s">
        <v>143</v>
      </c>
    </row>
    <row r="146" spans="28:30" ht="12.75" hidden="1">
      <c r="AB146" s="1">
        <v>74</v>
      </c>
      <c r="AC146" s="394" t="s">
        <v>717</v>
      </c>
      <c r="AD146" s="394" t="s">
        <v>716</v>
      </c>
    </row>
    <row r="147" spans="28:30" ht="12.75" hidden="1">
      <c r="AB147" s="1">
        <v>75</v>
      </c>
      <c r="AC147" s="394" t="s">
        <v>146</v>
      </c>
      <c r="AD147" s="394" t="s">
        <v>145</v>
      </c>
    </row>
    <row r="148" spans="28:30" ht="12.75" hidden="1">
      <c r="AB148" s="1">
        <v>76</v>
      </c>
      <c r="AC148" s="394" t="s">
        <v>266</v>
      </c>
      <c r="AD148" s="394" t="s">
        <v>265</v>
      </c>
    </row>
    <row r="149" spans="28:30" ht="12.75" hidden="1">
      <c r="AB149" s="1">
        <v>77</v>
      </c>
      <c r="AC149" s="394" t="s">
        <v>777</v>
      </c>
      <c r="AD149" s="394" t="s">
        <v>778</v>
      </c>
    </row>
    <row r="150" spans="28:30" ht="12.75" hidden="1">
      <c r="AB150" s="1">
        <v>78</v>
      </c>
      <c r="AC150" s="1" t="s">
        <v>913</v>
      </c>
      <c r="AD150" s="394" t="s">
        <v>914</v>
      </c>
    </row>
    <row r="151" spans="28:30" ht="12.75" hidden="1">
      <c r="AB151" s="1">
        <v>79</v>
      </c>
      <c r="AC151" s="394" t="s">
        <v>148</v>
      </c>
      <c r="AD151" s="394" t="s">
        <v>147</v>
      </c>
    </row>
    <row r="152" spans="28:30" ht="12.75" hidden="1">
      <c r="AB152" s="1">
        <v>80</v>
      </c>
      <c r="AC152" s="394" t="s">
        <v>532</v>
      </c>
      <c r="AD152" s="394" t="s">
        <v>531</v>
      </c>
    </row>
    <row r="153" spans="28:30" ht="12.75" hidden="1">
      <c r="AB153" s="1">
        <v>81</v>
      </c>
      <c r="AC153" s="394" t="s">
        <v>150</v>
      </c>
      <c r="AD153" s="394" t="s">
        <v>149</v>
      </c>
    </row>
    <row r="154" spans="28:30" ht="12.75" hidden="1">
      <c r="AB154" s="1">
        <v>82</v>
      </c>
      <c r="AC154" s="394" t="s">
        <v>152</v>
      </c>
      <c r="AD154" s="394" t="s">
        <v>151</v>
      </c>
    </row>
    <row r="155" spans="28:30" ht="12.75" hidden="1">
      <c r="AB155" s="1">
        <v>83</v>
      </c>
      <c r="AC155" s="394" t="s">
        <v>154</v>
      </c>
      <c r="AD155" s="394" t="s">
        <v>153</v>
      </c>
    </row>
    <row r="156" spans="28:30" ht="12.75" hidden="1">
      <c r="AB156" s="1">
        <v>84</v>
      </c>
      <c r="AC156" s="394" t="s">
        <v>1500</v>
      </c>
      <c r="AD156" s="394" t="s">
        <v>1501</v>
      </c>
    </row>
    <row r="157" spans="28:30" ht="12.75" hidden="1">
      <c r="AB157" s="1">
        <v>85</v>
      </c>
      <c r="AC157" s="394" t="s">
        <v>158</v>
      </c>
      <c r="AD157" s="394" t="s">
        <v>157</v>
      </c>
    </row>
    <row r="158" spans="28:30" ht="12.75" hidden="1">
      <c r="AB158" s="1">
        <v>86</v>
      </c>
      <c r="AC158" s="394" t="s">
        <v>507</v>
      </c>
      <c r="AD158" s="394" t="s">
        <v>506</v>
      </c>
    </row>
    <row r="159" spans="28:30" ht="12.75" hidden="1">
      <c r="AB159" s="1">
        <v>87</v>
      </c>
      <c r="AC159" s="394" t="s">
        <v>927</v>
      </c>
      <c r="AD159" s="394" t="s">
        <v>928</v>
      </c>
    </row>
    <row r="160" spans="28:30" ht="12.75" hidden="1">
      <c r="AB160" s="1">
        <v>88</v>
      </c>
      <c r="AC160" s="394" t="s">
        <v>202</v>
      </c>
      <c r="AD160" s="394" t="s">
        <v>201</v>
      </c>
    </row>
    <row r="161" spans="28:30" ht="12.75" hidden="1">
      <c r="AB161" s="1">
        <v>89</v>
      </c>
      <c r="AC161" s="394" t="s">
        <v>1246</v>
      </c>
      <c r="AD161" s="394" t="s">
        <v>1247</v>
      </c>
    </row>
    <row r="162" spans="28:30" ht="12.75" hidden="1">
      <c r="AB162" s="1">
        <v>90</v>
      </c>
      <c r="AC162" s="394" t="s">
        <v>204</v>
      </c>
      <c r="AD162" s="394" t="s">
        <v>203</v>
      </c>
    </row>
    <row r="163" spans="28:30" ht="12.75" hidden="1">
      <c r="AB163" s="1">
        <v>91</v>
      </c>
      <c r="AC163" s="394" t="s">
        <v>160</v>
      </c>
      <c r="AD163" s="394" t="s">
        <v>159</v>
      </c>
    </row>
    <row r="164" spans="28:30" ht="12.75" hidden="1">
      <c r="AB164" s="1">
        <v>92</v>
      </c>
      <c r="AC164" s="394" t="s">
        <v>166</v>
      </c>
      <c r="AD164" s="394" t="s">
        <v>165</v>
      </c>
    </row>
    <row r="165" spans="28:30" ht="12.75" hidden="1">
      <c r="AB165" s="1">
        <v>93</v>
      </c>
      <c r="AC165" s="394" t="s">
        <v>164</v>
      </c>
      <c r="AD165" s="394" t="s">
        <v>163</v>
      </c>
    </row>
    <row r="166" spans="28:30" ht="12.75" hidden="1">
      <c r="AB166" s="1">
        <v>94</v>
      </c>
      <c r="AC166" s="394" t="s">
        <v>1512</v>
      </c>
      <c r="AD166" s="394" t="s">
        <v>1513</v>
      </c>
    </row>
    <row r="167" spans="28:30" ht="12.75" hidden="1">
      <c r="AB167" s="1">
        <v>95</v>
      </c>
      <c r="AC167" s="394" t="s">
        <v>168</v>
      </c>
      <c r="AD167" s="394" t="s">
        <v>167</v>
      </c>
    </row>
    <row r="168" spans="28:30" ht="12.75" hidden="1">
      <c r="AB168" s="1">
        <v>96</v>
      </c>
      <c r="AC168" s="394" t="s">
        <v>1504</v>
      </c>
      <c r="AD168" s="394" t="s">
        <v>1505</v>
      </c>
    </row>
    <row r="169" spans="28:30" ht="12.75" hidden="1">
      <c r="AB169" s="1">
        <v>97</v>
      </c>
      <c r="AC169" s="394" t="s">
        <v>751</v>
      </c>
      <c r="AD169" s="394" t="s">
        <v>549</v>
      </c>
    </row>
    <row r="170" spans="28:30" ht="12.75" hidden="1">
      <c r="AB170" s="1">
        <v>98</v>
      </c>
      <c r="AC170" s="394" t="s">
        <v>526</v>
      </c>
      <c r="AD170" s="394" t="s">
        <v>525</v>
      </c>
    </row>
    <row r="171" spans="28:30" ht="12.75" hidden="1">
      <c r="AB171" s="1">
        <v>99</v>
      </c>
      <c r="AC171" s="394" t="s">
        <v>426</v>
      </c>
      <c r="AD171" s="394" t="s">
        <v>425</v>
      </c>
    </row>
    <row r="172" spans="28:30" ht="12.75" hidden="1">
      <c r="AB172" s="1">
        <v>100</v>
      </c>
      <c r="AC172" s="394" t="s">
        <v>172</v>
      </c>
      <c r="AD172" s="394" t="s">
        <v>171</v>
      </c>
    </row>
    <row r="173" spans="28:30" ht="12.75" hidden="1">
      <c r="AB173" s="1">
        <v>101</v>
      </c>
      <c r="AC173" s="394" t="s">
        <v>174</v>
      </c>
      <c r="AD173" s="394" t="s">
        <v>173</v>
      </c>
    </row>
    <row r="174" spans="28:30" ht="12.75" hidden="1">
      <c r="AB174" s="1">
        <v>102</v>
      </c>
      <c r="AC174" s="394" t="s">
        <v>170</v>
      </c>
      <c r="AD174" s="394" t="s">
        <v>169</v>
      </c>
    </row>
    <row r="175" spans="28:30" ht="12.75" hidden="1">
      <c r="AB175" s="1">
        <v>103</v>
      </c>
      <c r="AC175" s="394" t="s">
        <v>176</v>
      </c>
      <c r="AD175" s="394" t="s">
        <v>175</v>
      </c>
    </row>
    <row r="176" spans="28:30" ht="12.75" hidden="1">
      <c r="AB176" s="1">
        <v>104</v>
      </c>
      <c r="AC176" s="394" t="s">
        <v>178</v>
      </c>
      <c r="AD176" s="394" t="s">
        <v>177</v>
      </c>
    </row>
    <row r="177" spans="28:30" ht="12.75" hidden="1">
      <c r="AB177" s="1">
        <v>105</v>
      </c>
      <c r="AC177" s="394" t="s">
        <v>180</v>
      </c>
      <c r="AD177" s="394" t="s">
        <v>179</v>
      </c>
    </row>
    <row r="178" spans="28:30" ht="12.75" hidden="1">
      <c r="AB178" s="1">
        <v>106</v>
      </c>
      <c r="AC178" s="394" t="s">
        <v>546</v>
      </c>
      <c r="AD178" s="394" t="s">
        <v>545</v>
      </c>
    </row>
    <row r="179" spans="28:30" ht="12.75" hidden="1">
      <c r="AB179" s="1">
        <v>107</v>
      </c>
      <c r="AC179" s="394" t="s">
        <v>184</v>
      </c>
      <c r="AD179" s="394" t="s">
        <v>183</v>
      </c>
    </row>
    <row r="180" spans="28:30" ht="12.75" hidden="1">
      <c r="AB180" s="1">
        <v>108</v>
      </c>
      <c r="AC180" s="394" t="s">
        <v>562</v>
      </c>
      <c r="AD180" s="394" t="s">
        <v>561</v>
      </c>
    </row>
    <row r="181" spans="28:30" ht="12.75" hidden="1">
      <c r="AB181" s="1">
        <v>109</v>
      </c>
      <c r="AC181" s="394" t="s">
        <v>186</v>
      </c>
      <c r="AD181" s="394" t="s">
        <v>185</v>
      </c>
    </row>
    <row r="182" spans="28:30" ht="12.75" hidden="1">
      <c r="AB182" s="1">
        <v>110</v>
      </c>
      <c r="AC182" s="394" t="s">
        <v>188</v>
      </c>
      <c r="AD182" s="394" t="s">
        <v>187</v>
      </c>
    </row>
    <row r="183" spans="28:30" ht="12.75" hidden="1">
      <c r="AB183" s="1">
        <v>111</v>
      </c>
      <c r="AC183" s="394" t="s">
        <v>486</v>
      </c>
      <c r="AD183" s="394" t="s">
        <v>485</v>
      </c>
    </row>
    <row r="184" spans="28:30" ht="12.75" hidden="1">
      <c r="AB184" s="1">
        <v>112</v>
      </c>
      <c r="AC184" s="394" t="s">
        <v>190</v>
      </c>
      <c r="AD184" s="394" t="s">
        <v>189</v>
      </c>
    </row>
    <row r="185" spans="28:30" ht="12.75" hidden="1">
      <c r="AB185" s="1">
        <v>113</v>
      </c>
      <c r="AC185" s="394" t="s">
        <v>192</v>
      </c>
      <c r="AD185" s="394" t="s">
        <v>191</v>
      </c>
    </row>
    <row r="186" spans="28:30" ht="12.75" hidden="1">
      <c r="AB186" s="1">
        <v>114</v>
      </c>
      <c r="AC186" s="1" t="s">
        <v>564</v>
      </c>
      <c r="AD186" s="394" t="s">
        <v>563</v>
      </c>
    </row>
    <row r="187" spans="28:30" ht="12.75" hidden="1">
      <c r="AB187" s="1">
        <v>115</v>
      </c>
      <c r="AC187" s="394" t="s">
        <v>196</v>
      </c>
      <c r="AD187" s="394" t="s">
        <v>195</v>
      </c>
    </row>
    <row r="188" spans="28:30" ht="12.75" hidden="1">
      <c r="AB188" s="1">
        <v>116</v>
      </c>
      <c r="AC188" s="394" t="s">
        <v>198</v>
      </c>
      <c r="AD188" s="394" t="s">
        <v>197</v>
      </c>
    </row>
    <row r="189" spans="28:30" ht="12.75" hidden="1">
      <c r="AB189" s="1">
        <v>117</v>
      </c>
      <c r="AC189" s="394" t="s">
        <v>1518</v>
      </c>
      <c r="AD189" s="394" t="s">
        <v>1519</v>
      </c>
    </row>
    <row r="190" spans="28:30" ht="12.75" hidden="1">
      <c r="AB190" s="1">
        <v>118</v>
      </c>
      <c r="AC190" s="394" t="s">
        <v>200</v>
      </c>
      <c r="AD190" s="394" t="s">
        <v>199</v>
      </c>
    </row>
    <row r="191" spans="28:30" ht="12.75" hidden="1">
      <c r="AB191" s="1">
        <v>119</v>
      </c>
      <c r="AC191" s="394" t="s">
        <v>1234</v>
      </c>
      <c r="AD191" s="394" t="s">
        <v>1235</v>
      </c>
    </row>
    <row r="192" spans="28:30" ht="12.75" hidden="1">
      <c r="AB192" s="1">
        <v>120</v>
      </c>
      <c r="AC192" s="394" t="s">
        <v>568</v>
      </c>
      <c r="AD192" s="394" t="s">
        <v>567</v>
      </c>
    </row>
    <row r="193" spans="28:30" ht="12.75" hidden="1">
      <c r="AB193" s="1">
        <v>121</v>
      </c>
      <c r="AC193" s="394" t="s">
        <v>210</v>
      </c>
      <c r="AD193" s="394" t="s">
        <v>209</v>
      </c>
    </row>
    <row r="194" spans="28:30" ht="12.75" hidden="1">
      <c r="AB194" s="1">
        <v>122</v>
      </c>
      <c r="AC194" s="394" t="s">
        <v>208</v>
      </c>
      <c r="AD194" s="394" t="s">
        <v>207</v>
      </c>
    </row>
    <row r="195" spans="28:30" ht="12.75" hidden="1">
      <c r="AB195" s="1">
        <v>123</v>
      </c>
      <c r="AC195" s="394" t="s">
        <v>1181</v>
      </c>
      <c r="AD195" s="394" t="s">
        <v>1182</v>
      </c>
    </row>
    <row r="196" spans="28:30" ht="12.75" hidden="1">
      <c r="AB196" s="1">
        <v>124</v>
      </c>
      <c r="AC196" s="394" t="s">
        <v>194</v>
      </c>
      <c r="AD196" s="394" t="s">
        <v>193</v>
      </c>
    </row>
    <row r="197" spans="28:30" ht="12.75" hidden="1">
      <c r="AB197" s="1">
        <v>125</v>
      </c>
      <c r="AC197" s="394" t="s">
        <v>212</v>
      </c>
      <c r="AD197" s="394" t="s">
        <v>211</v>
      </c>
    </row>
    <row r="198" spans="28:30" ht="12.75" hidden="1">
      <c r="AB198" s="1">
        <v>126</v>
      </c>
      <c r="AC198" s="1" t="s">
        <v>581</v>
      </c>
      <c r="AD198" s="394" t="s">
        <v>580</v>
      </c>
    </row>
    <row r="199" spans="28:30" ht="12.75" hidden="1">
      <c r="AB199" s="1">
        <v>127</v>
      </c>
      <c r="AC199" s="394" t="s">
        <v>214</v>
      </c>
      <c r="AD199" s="394" t="s">
        <v>213</v>
      </c>
    </row>
    <row r="200" spans="28:30" ht="12.75" hidden="1">
      <c r="AB200" s="1">
        <v>128</v>
      </c>
      <c r="AC200" s="394" t="s">
        <v>216</v>
      </c>
      <c r="AD200" s="394" t="s">
        <v>215</v>
      </c>
    </row>
    <row r="201" spans="28:30" ht="12.75" hidden="1">
      <c r="AB201" s="1">
        <v>129</v>
      </c>
      <c r="AC201" s="394" t="s">
        <v>220</v>
      </c>
      <c r="AD201" s="394" t="s">
        <v>219</v>
      </c>
    </row>
    <row r="202" spans="28:30" ht="12.75" hidden="1">
      <c r="AB202" s="1">
        <v>130</v>
      </c>
      <c r="AC202" s="394" t="s">
        <v>509</v>
      </c>
      <c r="AD202" s="394" t="s">
        <v>508</v>
      </c>
    </row>
    <row r="203" spans="28:30" ht="12.75" hidden="1">
      <c r="AB203" s="1">
        <v>131</v>
      </c>
      <c r="AC203" s="394" t="s">
        <v>222</v>
      </c>
      <c r="AD203" s="394" t="s">
        <v>221</v>
      </c>
    </row>
    <row r="204" spans="28:30" ht="12.75" hidden="1">
      <c r="AB204" s="1">
        <v>132</v>
      </c>
      <c r="AC204" s="1" t="s">
        <v>915</v>
      </c>
      <c r="AD204" s="394" t="s">
        <v>916</v>
      </c>
    </row>
    <row r="205" spans="28:30" ht="12.75" hidden="1">
      <c r="AB205" s="1">
        <v>133</v>
      </c>
      <c r="AC205" s="1" t="s">
        <v>1193</v>
      </c>
      <c r="AD205" s="1" t="s">
        <v>1194</v>
      </c>
    </row>
    <row r="206" spans="28:30" ht="12.75" hidden="1">
      <c r="AB206" s="1">
        <v>134</v>
      </c>
      <c r="AC206" s="394" t="s">
        <v>226</v>
      </c>
      <c r="AD206" s="394" t="s">
        <v>225</v>
      </c>
    </row>
    <row r="207" spans="28:30" ht="12.75" hidden="1">
      <c r="AB207" s="1">
        <v>135</v>
      </c>
      <c r="AC207" s="394" t="s">
        <v>1441</v>
      </c>
      <c r="AD207" s="394" t="s">
        <v>1440</v>
      </c>
    </row>
    <row r="208" spans="28:30" ht="12.75" hidden="1">
      <c r="AB208" s="1">
        <v>136</v>
      </c>
      <c r="AC208" s="394" t="s">
        <v>1506</v>
      </c>
      <c r="AD208" s="394" t="s">
        <v>1507</v>
      </c>
    </row>
    <row r="209" spans="28:30" ht="12.75" hidden="1">
      <c r="AB209" s="1">
        <v>137</v>
      </c>
      <c r="AC209" s="394" t="s">
        <v>238</v>
      </c>
      <c r="AD209" s="394" t="s">
        <v>237</v>
      </c>
    </row>
    <row r="210" spans="28:30" ht="12.75" hidden="1">
      <c r="AB210" s="1">
        <v>138</v>
      </c>
      <c r="AC210" s="394" t="s">
        <v>228</v>
      </c>
      <c r="AD210" s="394" t="s">
        <v>227</v>
      </c>
    </row>
    <row r="211" spans="28:30" ht="12.75" hidden="1">
      <c r="AB211" s="1">
        <v>139</v>
      </c>
      <c r="AC211" s="394" t="s">
        <v>978</v>
      </c>
      <c r="AD211" s="394" t="s">
        <v>979</v>
      </c>
    </row>
    <row r="212" spans="28:30" ht="12.75" hidden="1">
      <c r="AB212" s="1">
        <v>140</v>
      </c>
      <c r="AC212" s="394" t="s">
        <v>232</v>
      </c>
      <c r="AD212" s="394" t="s">
        <v>231</v>
      </c>
    </row>
    <row r="213" spans="28:30" ht="12.75">
      <c r="AB213" s="1">
        <v>141</v>
      </c>
      <c r="AC213" s="394" t="s">
        <v>234</v>
      </c>
      <c r="AD213" s="394" t="s">
        <v>233</v>
      </c>
    </row>
    <row r="214" spans="28:30" ht="12.75">
      <c r="AB214" s="1">
        <v>142</v>
      </c>
      <c r="AC214" s="394" t="s">
        <v>236</v>
      </c>
      <c r="AD214" s="394" t="s">
        <v>235</v>
      </c>
    </row>
    <row r="215" spans="28:30" ht="12.75">
      <c r="AB215" s="1">
        <v>143</v>
      </c>
      <c r="AC215" s="394" t="s">
        <v>929</v>
      </c>
      <c r="AD215" s="394" t="s">
        <v>930</v>
      </c>
    </row>
    <row r="216" spans="28:30" ht="12.75">
      <c r="AB216" s="1">
        <v>144</v>
      </c>
      <c r="AC216" s="394" t="s">
        <v>240</v>
      </c>
      <c r="AD216" s="394" t="s">
        <v>239</v>
      </c>
    </row>
    <row r="217" spans="28:30" ht="12.75">
      <c r="AB217" s="1">
        <v>145</v>
      </c>
      <c r="AC217" s="394" t="s">
        <v>242</v>
      </c>
      <c r="AD217" s="394" t="s">
        <v>241</v>
      </c>
    </row>
    <row r="218" spans="28:30" ht="12.75">
      <c r="AB218" s="1">
        <v>146</v>
      </c>
      <c r="AC218" s="394" t="s">
        <v>244</v>
      </c>
      <c r="AD218" s="394" t="s">
        <v>243</v>
      </c>
    </row>
    <row r="219" spans="28:30" ht="12.75">
      <c r="AB219" s="1">
        <v>147</v>
      </c>
      <c r="AC219" s="394" t="s">
        <v>246</v>
      </c>
      <c r="AD219" s="394" t="s">
        <v>245</v>
      </c>
    </row>
    <row r="220" spans="28:30" ht="12.75">
      <c r="AB220" s="1">
        <v>148</v>
      </c>
      <c r="AC220" s="394" t="s">
        <v>953</v>
      </c>
      <c r="AD220" s="394" t="s">
        <v>954</v>
      </c>
    </row>
    <row r="221" spans="28:30" ht="12.75">
      <c r="AB221" s="1">
        <v>149</v>
      </c>
      <c r="AC221" s="1" t="s">
        <v>753</v>
      </c>
      <c r="AD221" s="1" t="s">
        <v>552</v>
      </c>
    </row>
    <row r="222" spans="28:30" ht="12.75">
      <c r="AB222" s="1">
        <v>150</v>
      </c>
      <c r="AC222" s="394" t="s">
        <v>277</v>
      </c>
      <c r="AD222" s="394" t="s">
        <v>276</v>
      </c>
    </row>
    <row r="223" spans="28:30" ht="12.75">
      <c r="AB223" s="1">
        <v>151</v>
      </c>
      <c r="AC223" s="394" t="s">
        <v>1199</v>
      </c>
      <c r="AD223" s="394" t="s">
        <v>1200</v>
      </c>
    </row>
    <row r="224" spans="28:30" ht="12.75">
      <c r="AB224" s="1">
        <v>152</v>
      </c>
      <c r="AC224" s="394" t="s">
        <v>250</v>
      </c>
      <c r="AD224" s="394" t="s">
        <v>249</v>
      </c>
    </row>
    <row r="225" spans="28:30" ht="12.75">
      <c r="AB225" s="1">
        <v>153</v>
      </c>
      <c r="AC225" s="394" t="s">
        <v>252</v>
      </c>
      <c r="AD225" s="394" t="s">
        <v>251</v>
      </c>
    </row>
    <row r="226" spans="28:30" ht="12.75">
      <c r="AB226" s="1">
        <v>154</v>
      </c>
      <c r="AC226" s="394" t="s">
        <v>254</v>
      </c>
      <c r="AD226" s="394" t="s">
        <v>253</v>
      </c>
    </row>
    <row r="227" spans="28:30" ht="12.75">
      <c r="AB227" s="1">
        <v>155</v>
      </c>
      <c r="AC227" s="394" t="s">
        <v>256</v>
      </c>
      <c r="AD227" s="394" t="s">
        <v>255</v>
      </c>
    </row>
    <row r="228" spans="28:30" ht="12.75">
      <c r="AB228" s="1">
        <v>156</v>
      </c>
      <c r="AC228" s="394" t="s">
        <v>762</v>
      </c>
      <c r="AD228" s="394" t="s">
        <v>763</v>
      </c>
    </row>
    <row r="229" spans="28:30" ht="12.75">
      <c r="AB229" s="1">
        <v>157</v>
      </c>
      <c r="AC229" s="394" t="s">
        <v>162</v>
      </c>
      <c r="AD229" s="394" t="s">
        <v>161</v>
      </c>
    </row>
    <row r="230" spans="28:30" ht="12.75">
      <c r="AB230" s="1">
        <v>158</v>
      </c>
      <c r="AC230" s="394" t="s">
        <v>356</v>
      </c>
      <c r="AD230" s="394" t="s">
        <v>355</v>
      </c>
    </row>
    <row r="231" spans="28:30" ht="12.75">
      <c r="AB231" s="1">
        <v>159</v>
      </c>
      <c r="AC231" s="1" t="s">
        <v>970</v>
      </c>
      <c r="AD231" s="394" t="s">
        <v>917</v>
      </c>
    </row>
    <row r="232" spans="28:30" ht="12.75">
      <c r="AB232" s="1">
        <v>160</v>
      </c>
      <c r="AC232" s="394" t="s">
        <v>768</v>
      </c>
      <c r="AD232" s="394" t="s">
        <v>448</v>
      </c>
    </row>
    <row r="233" spans="28:30" ht="12.75">
      <c r="AB233" s="1">
        <v>161</v>
      </c>
      <c r="AC233" s="394" t="s">
        <v>279</v>
      </c>
      <c r="AD233" s="394" t="s">
        <v>278</v>
      </c>
    </row>
    <row r="234" spans="28:30" ht="12.75">
      <c r="AB234" s="1">
        <v>162</v>
      </c>
      <c r="AC234" s="394" t="s">
        <v>259</v>
      </c>
      <c r="AD234" s="394" t="s">
        <v>258</v>
      </c>
    </row>
    <row r="235" spans="28:30" ht="12.75">
      <c r="AB235" s="1">
        <v>163</v>
      </c>
      <c r="AC235" s="394" t="s">
        <v>974</v>
      </c>
      <c r="AD235" s="394" t="s">
        <v>975</v>
      </c>
    </row>
    <row r="236" spans="28:30" ht="12.75">
      <c r="AB236" s="1">
        <v>164</v>
      </c>
      <c r="AC236" s="396" t="s">
        <v>1495</v>
      </c>
      <c r="AD236" s="396" t="s">
        <v>1496</v>
      </c>
    </row>
    <row r="237" spans="28:30" ht="12.75">
      <c r="AB237" s="1">
        <v>165</v>
      </c>
      <c r="AC237" s="394" t="s">
        <v>262</v>
      </c>
      <c r="AD237" s="394" t="s">
        <v>261</v>
      </c>
    </row>
    <row r="238" spans="28:30" ht="12.75">
      <c r="AB238" s="1">
        <v>166</v>
      </c>
      <c r="AC238" s="394" t="s">
        <v>1522</v>
      </c>
      <c r="AD238" s="394" t="s">
        <v>1523</v>
      </c>
    </row>
    <row r="239" spans="28:30" ht="12.75">
      <c r="AB239" s="1">
        <v>167</v>
      </c>
      <c r="AC239" s="394" t="s">
        <v>264</v>
      </c>
      <c r="AD239" s="394" t="s">
        <v>263</v>
      </c>
    </row>
    <row r="240" spans="28:30" ht="12.75">
      <c r="AB240" s="1">
        <v>168</v>
      </c>
      <c r="AC240" s="394" t="s">
        <v>771</v>
      </c>
      <c r="AD240" s="394" t="s">
        <v>772</v>
      </c>
    </row>
    <row r="241" spans="28:30" ht="12.75">
      <c r="AB241" s="1">
        <v>169</v>
      </c>
      <c r="AC241" s="394" t="s">
        <v>754</v>
      </c>
      <c r="AD241" s="394" t="s">
        <v>257</v>
      </c>
    </row>
    <row r="242" spans="28:30" ht="12.75">
      <c r="AB242" s="1">
        <v>170</v>
      </c>
      <c r="AC242" s="394" t="s">
        <v>1183</v>
      </c>
      <c r="AD242" s="394" t="s">
        <v>267</v>
      </c>
    </row>
    <row r="243" spans="28:30" ht="12.75">
      <c r="AB243" s="1">
        <v>171</v>
      </c>
      <c r="AC243" s="394" t="s">
        <v>269</v>
      </c>
      <c r="AD243" s="394" t="s">
        <v>268</v>
      </c>
    </row>
    <row r="244" spans="28:30" ht="12.75">
      <c r="AB244" s="1">
        <v>172</v>
      </c>
      <c r="AC244" s="394" t="s">
        <v>271</v>
      </c>
      <c r="AD244" s="394" t="s">
        <v>270</v>
      </c>
    </row>
    <row r="245" spans="28:30" ht="12.75">
      <c r="AB245" s="1">
        <v>173</v>
      </c>
      <c r="AC245" s="394" t="s">
        <v>951</v>
      </c>
      <c r="AD245" s="394" t="s">
        <v>952</v>
      </c>
    </row>
    <row r="246" spans="28:30" ht="12.75">
      <c r="AB246" s="1">
        <v>174</v>
      </c>
      <c r="AC246" s="394" t="s">
        <v>273</v>
      </c>
      <c r="AD246" s="394" t="s">
        <v>272</v>
      </c>
    </row>
    <row r="247" spans="28:30" ht="12.75">
      <c r="AB247" s="1">
        <v>175</v>
      </c>
      <c r="AC247" s="394" t="s">
        <v>505</v>
      </c>
      <c r="AD247" s="394" t="s">
        <v>504</v>
      </c>
    </row>
    <row r="248" spans="28:30" ht="12.75">
      <c r="AB248" s="1">
        <v>176</v>
      </c>
      <c r="AC248" s="394" t="s">
        <v>275</v>
      </c>
      <c r="AD248" s="394" t="s">
        <v>274</v>
      </c>
    </row>
    <row r="249" spans="28:30" ht="12.75">
      <c r="AB249" s="1">
        <v>177</v>
      </c>
      <c r="AC249" s="394" t="s">
        <v>392</v>
      </c>
      <c r="AD249" s="394" t="s">
        <v>391</v>
      </c>
    </row>
    <row r="250" spans="28:30" ht="12.75">
      <c r="AB250" s="1">
        <v>178</v>
      </c>
      <c r="AC250" s="394" t="s">
        <v>782</v>
      </c>
      <c r="AD250" s="394" t="s">
        <v>783</v>
      </c>
    </row>
    <row r="251" spans="28:30" ht="12.75">
      <c r="AB251" s="1">
        <v>179</v>
      </c>
      <c r="AC251" s="394" t="s">
        <v>117</v>
      </c>
      <c r="AD251" s="394" t="s">
        <v>116</v>
      </c>
    </row>
    <row r="252" spans="28:30" ht="12.75">
      <c r="AB252" s="1">
        <v>180</v>
      </c>
      <c r="AC252" s="394" t="s">
        <v>534</v>
      </c>
      <c r="AD252" s="394" t="s">
        <v>533</v>
      </c>
    </row>
    <row r="253" spans="28:30" ht="12.75">
      <c r="AB253" s="1">
        <v>181</v>
      </c>
      <c r="AC253" s="1" t="s">
        <v>579</v>
      </c>
      <c r="AD253" s="394" t="s">
        <v>578</v>
      </c>
    </row>
    <row r="254" spans="28:30" ht="12.75">
      <c r="AB254" s="1">
        <v>182</v>
      </c>
      <c r="AC254" s="394" t="s">
        <v>281</v>
      </c>
      <c r="AD254" s="394" t="s">
        <v>280</v>
      </c>
    </row>
    <row r="255" spans="28:30" ht="12.75">
      <c r="AB255" s="1">
        <v>183</v>
      </c>
      <c r="AC255" s="394" t="s">
        <v>790</v>
      </c>
      <c r="AD255" s="394" t="s">
        <v>779</v>
      </c>
    </row>
    <row r="256" spans="28:30" ht="12.75">
      <c r="AB256" s="1">
        <v>184</v>
      </c>
      <c r="AC256" s="1" t="s">
        <v>729</v>
      </c>
      <c r="AD256" s="1" t="s">
        <v>730</v>
      </c>
    </row>
    <row r="257" spans="28:30" ht="12.75">
      <c r="AB257" s="1">
        <v>185</v>
      </c>
      <c r="AC257" s="1" t="s">
        <v>1184</v>
      </c>
      <c r="AD257" s="1" t="s">
        <v>1185</v>
      </c>
    </row>
    <row r="258" spans="28:30" ht="12.75">
      <c r="AB258" s="1">
        <v>186</v>
      </c>
      <c r="AC258" s="394" t="s">
        <v>283</v>
      </c>
      <c r="AD258" s="394" t="s">
        <v>282</v>
      </c>
    </row>
    <row r="259" spans="28:30" ht="12.75">
      <c r="AB259" s="1">
        <v>187</v>
      </c>
      <c r="AC259" s="394" t="s">
        <v>285</v>
      </c>
      <c r="AD259" s="394" t="s">
        <v>284</v>
      </c>
    </row>
    <row r="260" spans="28:30" ht="12.75">
      <c r="AB260" s="1">
        <v>188</v>
      </c>
      <c r="AC260" s="1" t="s">
        <v>918</v>
      </c>
      <c r="AD260" s="394" t="s">
        <v>919</v>
      </c>
    </row>
    <row r="261" spans="28:30" ht="12.75">
      <c r="AB261" s="1">
        <v>189</v>
      </c>
      <c r="AC261" s="394" t="s">
        <v>544</v>
      </c>
      <c r="AD261" s="394" t="s">
        <v>543</v>
      </c>
    </row>
    <row r="262" spans="28:30" ht="12.75">
      <c r="AB262" s="1">
        <v>190</v>
      </c>
      <c r="AC262" s="394" t="s">
        <v>289</v>
      </c>
      <c r="AD262" s="394" t="s">
        <v>288</v>
      </c>
    </row>
    <row r="263" spans="28:30" ht="12.75">
      <c r="AB263" s="1">
        <v>191</v>
      </c>
      <c r="AC263" s="394" t="s">
        <v>378</v>
      </c>
      <c r="AD263" s="394" t="s">
        <v>377</v>
      </c>
    </row>
    <row r="264" spans="28:30" ht="12.75">
      <c r="AB264" s="1">
        <v>192</v>
      </c>
      <c r="AC264" s="394" t="s">
        <v>291</v>
      </c>
      <c r="AD264" s="394" t="s">
        <v>290</v>
      </c>
    </row>
    <row r="265" spans="28:30" ht="12.75">
      <c r="AB265" s="1">
        <v>193</v>
      </c>
      <c r="AC265" s="394" t="s">
        <v>293</v>
      </c>
      <c r="AD265" s="394" t="s">
        <v>292</v>
      </c>
    </row>
    <row r="266" spans="28:30" ht="12.75">
      <c r="AB266" s="1">
        <v>194</v>
      </c>
      <c r="AC266" s="394" t="s">
        <v>301</v>
      </c>
      <c r="AD266" s="394" t="s">
        <v>300</v>
      </c>
    </row>
    <row r="267" spans="28:30" ht="12.75">
      <c r="AB267" s="1">
        <v>195</v>
      </c>
      <c r="AC267" s="394" t="s">
        <v>31</v>
      </c>
      <c r="AD267" s="394" t="s">
        <v>30</v>
      </c>
    </row>
    <row r="268" spans="28:30" ht="12.75">
      <c r="AB268" s="1">
        <v>196</v>
      </c>
      <c r="AC268" s="394" t="s">
        <v>248</v>
      </c>
      <c r="AD268" s="394" t="s">
        <v>247</v>
      </c>
    </row>
    <row r="269" spans="28:30" ht="12.75">
      <c r="AB269" s="1">
        <v>197</v>
      </c>
      <c r="AC269" s="394" t="s">
        <v>540</v>
      </c>
      <c r="AD269" s="394" t="s">
        <v>539</v>
      </c>
    </row>
    <row r="270" spans="28:30" ht="12.75">
      <c r="AB270" s="1">
        <v>198</v>
      </c>
      <c r="AC270" s="394" t="s">
        <v>303</v>
      </c>
      <c r="AD270" s="394" t="s">
        <v>302</v>
      </c>
    </row>
    <row r="271" spans="28:30" ht="12.75">
      <c r="AB271" s="1">
        <v>199</v>
      </c>
      <c r="AC271" s="394" t="s">
        <v>305</v>
      </c>
      <c r="AD271" s="394" t="s">
        <v>304</v>
      </c>
    </row>
    <row r="272" spans="28:30" ht="12.75">
      <c r="AB272" s="1">
        <v>200</v>
      </c>
      <c r="AC272" s="1" t="s">
        <v>740</v>
      </c>
      <c r="AD272" s="1" t="s">
        <v>735</v>
      </c>
    </row>
    <row r="273" spans="28:30" ht="12.75">
      <c r="AB273" s="1">
        <v>201</v>
      </c>
      <c r="AC273" s="394" t="s">
        <v>752</v>
      </c>
      <c r="AD273" s="394" t="s">
        <v>573</v>
      </c>
    </row>
    <row r="274" spans="28:30" ht="12.75">
      <c r="AB274" s="1">
        <v>202</v>
      </c>
      <c r="AC274" s="394" t="s">
        <v>947</v>
      </c>
      <c r="AD274" s="394" t="s">
        <v>948</v>
      </c>
    </row>
    <row r="275" spans="28:30" ht="12.75">
      <c r="AB275" s="1">
        <v>203</v>
      </c>
      <c r="AC275" s="394" t="s">
        <v>307</v>
      </c>
      <c r="AD275" s="394" t="s">
        <v>306</v>
      </c>
    </row>
    <row r="276" spans="28:30" ht="12.75">
      <c r="AB276" s="1">
        <v>204</v>
      </c>
      <c r="AC276" s="394" t="s">
        <v>309</v>
      </c>
      <c r="AD276" s="394" t="s">
        <v>308</v>
      </c>
    </row>
    <row r="277" spans="28:30" ht="12.75">
      <c r="AB277" s="1">
        <v>205</v>
      </c>
      <c r="AC277" s="394" t="s">
        <v>311</v>
      </c>
      <c r="AD277" s="394" t="s">
        <v>310</v>
      </c>
    </row>
    <row r="278" spans="28:30" ht="12.75">
      <c r="AB278" s="1">
        <v>206</v>
      </c>
      <c r="AC278" s="394" t="s">
        <v>295</v>
      </c>
      <c r="AD278" s="394" t="s">
        <v>294</v>
      </c>
    </row>
    <row r="279" spans="28:30" ht="12.75">
      <c r="AB279" s="1">
        <v>207</v>
      </c>
      <c r="AC279" s="394" t="s">
        <v>315</v>
      </c>
      <c r="AD279" s="394" t="s">
        <v>314</v>
      </c>
    </row>
    <row r="280" spans="28:30" ht="12.75">
      <c r="AB280" s="1">
        <v>208</v>
      </c>
      <c r="AC280" s="394" t="s">
        <v>317</v>
      </c>
      <c r="AD280" s="394" t="s">
        <v>316</v>
      </c>
    </row>
    <row r="281" spans="28:30" ht="12.75">
      <c r="AB281" s="1">
        <v>209</v>
      </c>
      <c r="AC281" s="394" t="s">
        <v>931</v>
      </c>
      <c r="AD281" s="394" t="s">
        <v>926</v>
      </c>
    </row>
    <row r="282" spans="28:30" ht="12.75">
      <c r="AB282" s="1">
        <v>210</v>
      </c>
      <c r="AC282" s="394" t="s">
        <v>287</v>
      </c>
      <c r="AD282" s="394" t="s">
        <v>286</v>
      </c>
    </row>
    <row r="283" spans="28:30" ht="12.75">
      <c r="AB283" s="1">
        <v>211</v>
      </c>
      <c r="AC283" s="394" t="s">
        <v>319</v>
      </c>
      <c r="AD283" s="394" t="s">
        <v>318</v>
      </c>
    </row>
    <row r="284" spans="28:30" ht="12.75">
      <c r="AB284" s="1">
        <v>212</v>
      </c>
      <c r="AC284" s="394" t="s">
        <v>323</v>
      </c>
      <c r="AD284" s="394" t="s">
        <v>322</v>
      </c>
    </row>
    <row r="285" spans="28:30" ht="12.75">
      <c r="AB285" s="1">
        <v>213</v>
      </c>
      <c r="AC285" s="394" t="s">
        <v>321</v>
      </c>
      <c r="AD285" s="394" t="s">
        <v>320</v>
      </c>
    </row>
    <row r="286" spans="28:30" ht="12.75">
      <c r="AB286" s="1">
        <v>214</v>
      </c>
      <c r="AC286" s="394" t="s">
        <v>63</v>
      </c>
      <c r="AD286" s="394" t="s">
        <v>62</v>
      </c>
    </row>
    <row r="287" spans="28:30" ht="12.75">
      <c r="AB287" s="1">
        <v>215</v>
      </c>
      <c r="AC287" s="394" t="s">
        <v>497</v>
      </c>
      <c r="AD287" s="394" t="s">
        <v>496</v>
      </c>
    </row>
    <row r="288" spans="28:30" ht="12.75">
      <c r="AB288" s="1">
        <v>216</v>
      </c>
      <c r="AC288" s="394" t="s">
        <v>325</v>
      </c>
      <c r="AD288" s="394" t="s">
        <v>324</v>
      </c>
    </row>
    <row r="289" spans="28:30" ht="12.75">
      <c r="AB289" s="1">
        <v>217</v>
      </c>
      <c r="AC289" s="394" t="s">
        <v>489</v>
      </c>
      <c r="AD289" s="394" t="s">
        <v>488</v>
      </c>
    </row>
    <row r="290" spans="28:30" ht="12.75">
      <c r="AB290" s="1">
        <v>218</v>
      </c>
      <c r="AC290" s="394" t="s">
        <v>327</v>
      </c>
      <c r="AD290" s="394" t="s">
        <v>326</v>
      </c>
    </row>
    <row r="291" spans="28:30" ht="12.75">
      <c r="AB291" s="1">
        <v>219</v>
      </c>
      <c r="AC291" s="394" t="s">
        <v>520</v>
      </c>
      <c r="AD291" s="394" t="s">
        <v>519</v>
      </c>
    </row>
    <row r="292" spans="28:30" ht="12.75">
      <c r="AB292" s="1">
        <v>220</v>
      </c>
      <c r="AC292" s="394" t="s">
        <v>1107</v>
      </c>
      <c r="AD292" s="394" t="s">
        <v>1108</v>
      </c>
    </row>
    <row r="293" spans="28:30" ht="12.75">
      <c r="AB293" s="1">
        <v>221</v>
      </c>
      <c r="AC293" s="394" t="s">
        <v>1186</v>
      </c>
      <c r="AD293" s="394" t="s">
        <v>352</v>
      </c>
    </row>
    <row r="294" spans="28:30" ht="12.75">
      <c r="AB294" s="1">
        <v>222</v>
      </c>
      <c r="AC294" s="394" t="s">
        <v>1252</v>
      </c>
      <c r="AD294" s="394" t="s">
        <v>1253</v>
      </c>
    </row>
    <row r="295" spans="28:30" ht="12.75">
      <c r="AB295" s="1">
        <v>223</v>
      </c>
      <c r="AC295" s="394" t="s">
        <v>412</v>
      </c>
      <c r="AD295" s="394" t="s">
        <v>411</v>
      </c>
    </row>
    <row r="296" spans="28:30" ht="12.75">
      <c r="AB296" s="1">
        <v>224</v>
      </c>
      <c r="AC296" s="1" t="s">
        <v>920</v>
      </c>
      <c r="AD296" s="394" t="s">
        <v>921</v>
      </c>
    </row>
    <row r="297" spans="28:30" ht="12.75">
      <c r="AB297" s="1">
        <v>225</v>
      </c>
      <c r="AC297" s="1" t="s">
        <v>757</v>
      </c>
      <c r="AD297" s="1" t="s">
        <v>719</v>
      </c>
    </row>
    <row r="298" spans="28:30" ht="12.75">
      <c r="AB298" s="1">
        <v>226</v>
      </c>
      <c r="AC298" s="394" t="s">
        <v>495</v>
      </c>
      <c r="AD298" s="394" t="s">
        <v>494</v>
      </c>
    </row>
    <row r="299" spans="28:30" ht="12.75">
      <c r="AB299" s="1">
        <v>227</v>
      </c>
      <c r="AC299" s="394" t="s">
        <v>329</v>
      </c>
      <c r="AD299" s="394" t="s">
        <v>328</v>
      </c>
    </row>
    <row r="300" spans="28:30" ht="12.75">
      <c r="AB300" s="1">
        <v>228</v>
      </c>
      <c r="AC300" s="394" t="s">
        <v>396</v>
      </c>
      <c r="AD300" s="394" t="s">
        <v>395</v>
      </c>
    </row>
    <row r="301" spans="28:30" ht="12.75">
      <c r="AB301" s="1">
        <v>229</v>
      </c>
      <c r="AC301" s="394" t="s">
        <v>491</v>
      </c>
      <c r="AD301" s="394" t="s">
        <v>490</v>
      </c>
    </row>
    <row r="302" spans="28:30" ht="12.75">
      <c r="AB302" s="1">
        <v>230</v>
      </c>
      <c r="AC302" s="394" t="s">
        <v>182</v>
      </c>
      <c r="AD302" s="394" t="s">
        <v>181</v>
      </c>
    </row>
    <row r="303" spans="28:30" ht="12.75">
      <c r="AB303" s="1">
        <v>231</v>
      </c>
      <c r="AC303" s="394" t="s">
        <v>499</v>
      </c>
      <c r="AD303" s="394" t="s">
        <v>498</v>
      </c>
    </row>
    <row r="304" spans="28:30" ht="12.75">
      <c r="AB304" s="1">
        <v>232</v>
      </c>
      <c r="AC304" s="394" t="s">
        <v>331</v>
      </c>
      <c r="AD304" s="394" t="s">
        <v>330</v>
      </c>
    </row>
    <row r="305" spans="28:30" ht="12.75">
      <c r="AB305" s="1">
        <v>233</v>
      </c>
      <c r="AC305" s="394" t="s">
        <v>958</v>
      </c>
      <c r="AD305" s="394" t="s">
        <v>959</v>
      </c>
    </row>
    <row r="306" spans="28:30" ht="12.75">
      <c r="AB306" s="1">
        <v>234</v>
      </c>
      <c r="AC306" s="394" t="s">
        <v>230</v>
      </c>
      <c r="AD306" s="394" t="s">
        <v>229</v>
      </c>
    </row>
    <row r="307" spans="28:30" ht="12.75">
      <c r="AB307" s="1">
        <v>235</v>
      </c>
      <c r="AC307" s="394" t="s">
        <v>1508</v>
      </c>
      <c r="AD307" s="394" t="s">
        <v>1509</v>
      </c>
    </row>
    <row r="308" spans="28:30" ht="12.75">
      <c r="AB308" s="1">
        <v>236</v>
      </c>
      <c r="AC308" s="394" t="s">
        <v>333</v>
      </c>
      <c r="AD308" s="394" t="s">
        <v>332</v>
      </c>
    </row>
    <row r="309" spans="28:30" ht="12.75">
      <c r="AB309" s="1">
        <v>237</v>
      </c>
      <c r="AC309" s="394" t="s">
        <v>493</v>
      </c>
      <c r="AD309" s="394" t="s">
        <v>492</v>
      </c>
    </row>
    <row r="310" spans="28:30" ht="12.75">
      <c r="AB310" s="1">
        <v>238</v>
      </c>
      <c r="AC310" s="394" t="s">
        <v>784</v>
      </c>
      <c r="AD310" s="394" t="s">
        <v>785</v>
      </c>
    </row>
    <row r="311" spans="28:30" ht="12.75">
      <c r="AB311" s="1">
        <v>239</v>
      </c>
      <c r="AC311" s="1" t="s">
        <v>791</v>
      </c>
      <c r="AD311" s="1" t="s">
        <v>722</v>
      </c>
    </row>
    <row r="312" spans="28:30" ht="12.75">
      <c r="AB312" s="1">
        <v>240</v>
      </c>
      <c r="AC312" s="1" t="s">
        <v>1187</v>
      </c>
      <c r="AD312" s="1" t="s">
        <v>1188</v>
      </c>
    </row>
    <row r="313" spans="28:30" ht="12.75">
      <c r="AB313" s="1">
        <v>241</v>
      </c>
      <c r="AC313" s="394" t="s">
        <v>297</v>
      </c>
      <c r="AD313" s="394" t="s">
        <v>296</v>
      </c>
    </row>
    <row r="314" spans="28:30" ht="12.75">
      <c r="AB314" s="1">
        <v>242</v>
      </c>
      <c r="AC314" s="394" t="s">
        <v>335</v>
      </c>
      <c r="AD314" s="394" t="s">
        <v>334</v>
      </c>
    </row>
    <row r="315" spans="28:30" ht="12.75">
      <c r="AB315" s="1">
        <v>243</v>
      </c>
      <c r="AC315" s="1" t="s">
        <v>723</v>
      </c>
      <c r="AD315" s="1" t="s">
        <v>724</v>
      </c>
    </row>
    <row r="316" spans="28:30" ht="12.75">
      <c r="AB316" s="1">
        <v>244</v>
      </c>
      <c r="AC316" s="394" t="s">
        <v>1248</v>
      </c>
      <c r="AD316" s="394" t="s">
        <v>1249</v>
      </c>
    </row>
    <row r="317" spans="28:30" ht="12.75">
      <c r="AB317" s="1">
        <v>245</v>
      </c>
      <c r="AC317" s="394" t="s">
        <v>337</v>
      </c>
      <c r="AD317" s="394" t="s">
        <v>336</v>
      </c>
    </row>
    <row r="318" spans="28:30" ht="12.75">
      <c r="AB318" s="1">
        <v>246</v>
      </c>
      <c r="AC318" s="394" t="s">
        <v>339</v>
      </c>
      <c r="AD318" s="394" t="s">
        <v>338</v>
      </c>
    </row>
    <row r="319" spans="28:30" ht="12.75">
      <c r="AB319" s="1">
        <v>247</v>
      </c>
      <c r="AC319" s="394" t="s">
        <v>1189</v>
      </c>
      <c r="AD319" s="394" t="s">
        <v>1190</v>
      </c>
    </row>
    <row r="320" spans="28:30" ht="12.75">
      <c r="AB320" s="1">
        <v>248</v>
      </c>
      <c r="AC320" s="394" t="s">
        <v>341</v>
      </c>
      <c r="AD320" s="394" t="s">
        <v>340</v>
      </c>
    </row>
    <row r="321" spans="28:30" ht="12.75">
      <c r="AB321" s="1">
        <v>249</v>
      </c>
      <c r="AC321" s="394" t="s">
        <v>343</v>
      </c>
      <c r="AD321" s="394" t="s">
        <v>342</v>
      </c>
    </row>
    <row r="322" spans="28:30" ht="12.75">
      <c r="AB322" s="1">
        <v>250</v>
      </c>
      <c r="AC322" s="394" t="s">
        <v>764</v>
      </c>
      <c r="AD322" s="394" t="s">
        <v>765</v>
      </c>
    </row>
    <row r="323" spans="28:30" ht="12.75">
      <c r="AB323" s="1">
        <v>251</v>
      </c>
      <c r="AC323" s="394" t="s">
        <v>345</v>
      </c>
      <c r="AD323" s="394" t="s">
        <v>344</v>
      </c>
    </row>
    <row r="324" spans="28:30" ht="12.75">
      <c r="AB324" s="1">
        <v>252</v>
      </c>
      <c r="AC324" s="394" t="s">
        <v>347</v>
      </c>
      <c r="AD324" s="394" t="s">
        <v>346</v>
      </c>
    </row>
    <row r="325" spans="28:30" ht="12.75">
      <c r="AB325" s="1">
        <v>253</v>
      </c>
      <c r="AC325" s="394" t="s">
        <v>349</v>
      </c>
      <c r="AD325" s="394" t="s">
        <v>348</v>
      </c>
    </row>
    <row r="326" spans="28:30" ht="12.75">
      <c r="AB326" s="1">
        <v>254</v>
      </c>
      <c r="AC326" s="394" t="s">
        <v>351</v>
      </c>
      <c r="AD326" s="394" t="s">
        <v>350</v>
      </c>
    </row>
    <row r="327" spans="28:30" ht="12.75">
      <c r="AB327" s="1">
        <v>255</v>
      </c>
      <c r="AC327" s="394" t="s">
        <v>354</v>
      </c>
      <c r="AD327" s="394" t="s">
        <v>353</v>
      </c>
    </row>
    <row r="328" spans="28:30" ht="12.75">
      <c r="AB328" s="1">
        <v>256</v>
      </c>
      <c r="AC328" s="394" t="s">
        <v>759</v>
      </c>
      <c r="AD328" s="1" t="s">
        <v>725</v>
      </c>
    </row>
    <row r="329" spans="28:30" ht="12.75">
      <c r="AB329" s="1">
        <v>257</v>
      </c>
      <c r="AC329" s="394" t="s">
        <v>156</v>
      </c>
      <c r="AD329" s="394" t="s">
        <v>155</v>
      </c>
    </row>
    <row r="330" spans="28:30" ht="12.75">
      <c r="AB330" s="1">
        <v>258</v>
      </c>
      <c r="AC330" s="394" t="s">
        <v>955</v>
      </c>
      <c r="AD330" s="394" t="s">
        <v>956</v>
      </c>
    </row>
    <row r="331" spans="28:30" ht="12.75">
      <c r="AB331" s="1">
        <v>259</v>
      </c>
      <c r="AC331" s="394" t="s">
        <v>358</v>
      </c>
      <c r="AD331" s="394" t="s">
        <v>357</v>
      </c>
    </row>
    <row r="332" spans="28:30" ht="12.75">
      <c r="AB332" s="1">
        <v>260</v>
      </c>
      <c r="AC332" s="394" t="s">
        <v>360</v>
      </c>
      <c r="AD332" s="394" t="s">
        <v>359</v>
      </c>
    </row>
    <row r="333" spans="28:30" ht="12.75">
      <c r="AB333" s="1">
        <v>261</v>
      </c>
      <c r="AC333" s="394" t="s">
        <v>554</v>
      </c>
      <c r="AD333" s="394" t="s">
        <v>553</v>
      </c>
    </row>
    <row r="334" spans="28:30" ht="12.75">
      <c r="AB334" s="1">
        <v>262</v>
      </c>
      <c r="AC334" s="394" t="s">
        <v>140</v>
      </c>
      <c r="AD334" s="394" t="s">
        <v>139</v>
      </c>
    </row>
    <row r="335" spans="28:30" ht="12.75">
      <c r="AB335" s="1">
        <v>263</v>
      </c>
      <c r="AC335" s="394" t="s">
        <v>362</v>
      </c>
      <c r="AD335" s="394" t="s">
        <v>361</v>
      </c>
    </row>
    <row r="336" spans="28:35" ht="12.75">
      <c r="AB336" s="1">
        <v>264</v>
      </c>
      <c r="AC336" s="394" t="s">
        <v>364</v>
      </c>
      <c r="AD336" s="394" t="s">
        <v>363</v>
      </c>
      <c r="AF336" s="1">
        <v>253</v>
      </c>
      <c r="AG336" s="397" t="s">
        <v>742</v>
      </c>
      <c r="AH336" s="337" t="s">
        <v>527</v>
      </c>
      <c r="AI336" s="337" t="s">
        <v>528</v>
      </c>
    </row>
    <row r="337" spans="28:30" ht="12.75">
      <c r="AB337" s="1">
        <v>265</v>
      </c>
      <c r="AC337" s="394" t="s">
        <v>366</v>
      </c>
      <c r="AD337" s="394" t="s">
        <v>365</v>
      </c>
    </row>
    <row r="338" spans="28:30" ht="12.75">
      <c r="AB338" s="1">
        <v>266</v>
      </c>
      <c r="AC338" s="1" t="s">
        <v>731</v>
      </c>
      <c r="AD338" s="1" t="s">
        <v>732</v>
      </c>
    </row>
    <row r="339" spans="28:30" ht="12.75">
      <c r="AB339" s="1">
        <v>267</v>
      </c>
      <c r="AC339" s="394" t="s">
        <v>976</v>
      </c>
      <c r="AD339" s="394" t="s">
        <v>977</v>
      </c>
    </row>
    <row r="340" spans="28:30" ht="12.75">
      <c r="AB340" s="1">
        <v>268</v>
      </c>
      <c r="AC340" s="1" t="s">
        <v>733</v>
      </c>
      <c r="AD340" s="1" t="s">
        <v>734</v>
      </c>
    </row>
    <row r="341" spans="28:30" ht="12.75">
      <c r="AB341" s="1">
        <v>269</v>
      </c>
      <c r="AC341" s="394" t="s">
        <v>370</v>
      </c>
      <c r="AD341" s="394" t="s">
        <v>369</v>
      </c>
    </row>
    <row r="342" spans="28:30" ht="12.75">
      <c r="AB342" s="1">
        <v>270</v>
      </c>
      <c r="AC342" s="394" t="s">
        <v>372</v>
      </c>
      <c r="AD342" s="394" t="s">
        <v>371</v>
      </c>
    </row>
    <row r="343" spans="28:30" ht="12.75">
      <c r="AB343" s="1">
        <v>271</v>
      </c>
      <c r="AC343" s="394" t="s">
        <v>454</v>
      </c>
      <c r="AD343" s="394" t="s">
        <v>453</v>
      </c>
    </row>
    <row r="344" spans="28:30" ht="12.75">
      <c r="AB344" s="1">
        <v>272</v>
      </c>
      <c r="AC344" s="394" t="s">
        <v>374</v>
      </c>
      <c r="AD344" s="394" t="s">
        <v>373</v>
      </c>
    </row>
    <row r="345" spans="28:30" ht="12.75">
      <c r="AB345" s="1">
        <v>273</v>
      </c>
      <c r="AC345" s="394" t="s">
        <v>380</v>
      </c>
      <c r="AD345" s="394" t="s">
        <v>379</v>
      </c>
    </row>
    <row r="346" spans="28:30" ht="12.75">
      <c r="AB346" s="1">
        <v>274</v>
      </c>
      <c r="AC346" s="394" t="s">
        <v>382</v>
      </c>
      <c r="AD346" s="394" t="s">
        <v>381</v>
      </c>
    </row>
    <row r="347" spans="28:30" ht="12.75">
      <c r="AB347" s="1">
        <v>275</v>
      </c>
      <c r="AC347" s="394" t="s">
        <v>384</v>
      </c>
      <c r="AD347" s="394" t="s">
        <v>383</v>
      </c>
    </row>
    <row r="348" spans="28:30" ht="12.75">
      <c r="AB348" s="1">
        <v>276</v>
      </c>
      <c r="AC348" s="394" t="s">
        <v>386</v>
      </c>
      <c r="AD348" s="394" t="s">
        <v>385</v>
      </c>
    </row>
    <row r="349" spans="28:30" ht="12.75">
      <c r="AB349" s="1">
        <v>277</v>
      </c>
      <c r="AC349" s="394" t="s">
        <v>388</v>
      </c>
      <c r="AD349" s="394" t="s">
        <v>387</v>
      </c>
    </row>
    <row r="350" spans="28:30" ht="12.75">
      <c r="AB350" s="1">
        <v>278</v>
      </c>
      <c r="AC350" s="394" t="s">
        <v>390</v>
      </c>
      <c r="AD350" s="394" t="s">
        <v>389</v>
      </c>
    </row>
    <row r="351" spans="28:30" ht="12.75">
      <c r="AB351" s="1">
        <v>279</v>
      </c>
      <c r="AC351" s="394" t="s">
        <v>394</v>
      </c>
      <c r="AD351" s="394" t="s">
        <v>393</v>
      </c>
    </row>
    <row r="352" spans="28:30" ht="12.75">
      <c r="AB352" s="1">
        <v>280</v>
      </c>
      <c r="AC352" s="394" t="s">
        <v>398</v>
      </c>
      <c r="AD352" s="394" t="s">
        <v>397</v>
      </c>
    </row>
    <row r="353" spans="28:30" ht="12.75">
      <c r="AB353" s="1">
        <v>281</v>
      </c>
      <c r="AC353" s="394" t="s">
        <v>404</v>
      </c>
      <c r="AD353" s="394" t="s">
        <v>403</v>
      </c>
    </row>
    <row r="354" spans="28:30" ht="12.75">
      <c r="AB354" s="1">
        <v>282</v>
      </c>
      <c r="AC354" s="394" t="s">
        <v>406</v>
      </c>
      <c r="AD354" s="394" t="s">
        <v>405</v>
      </c>
    </row>
    <row r="355" spans="28:30" ht="12.75">
      <c r="AB355" s="1">
        <v>283</v>
      </c>
      <c r="AC355" s="394" t="s">
        <v>556</v>
      </c>
      <c r="AD355" s="394" t="s">
        <v>555</v>
      </c>
    </row>
    <row r="356" spans="28:30" ht="12.75">
      <c r="AB356" s="1">
        <v>284</v>
      </c>
      <c r="AC356" s="394" t="s">
        <v>408</v>
      </c>
      <c r="AD356" s="394" t="s">
        <v>407</v>
      </c>
    </row>
    <row r="357" spans="28:30" ht="12.75">
      <c r="AB357" s="1">
        <v>285</v>
      </c>
      <c r="AC357" s="394" t="s">
        <v>410</v>
      </c>
      <c r="AD357" s="394" t="s">
        <v>409</v>
      </c>
    </row>
    <row r="358" spans="28:30" ht="12.75">
      <c r="AB358" s="1">
        <v>286</v>
      </c>
      <c r="AC358" s="394" t="s">
        <v>1191</v>
      </c>
      <c r="AD358" s="394" t="s">
        <v>1192</v>
      </c>
    </row>
    <row r="359" spans="28:30" ht="12.75">
      <c r="AB359" s="1">
        <v>287</v>
      </c>
      <c r="AC359" s="394" t="s">
        <v>792</v>
      </c>
      <c r="AD359" s="394" t="s">
        <v>260</v>
      </c>
    </row>
    <row r="360" spans="28:30" ht="12.75">
      <c r="AB360" s="1">
        <v>288</v>
      </c>
      <c r="AC360" s="394" t="s">
        <v>780</v>
      </c>
      <c r="AD360" s="394" t="s">
        <v>781</v>
      </c>
    </row>
    <row r="361" spans="28:30" ht="12.75">
      <c r="AB361" s="1">
        <v>289</v>
      </c>
      <c r="AC361" s="394" t="s">
        <v>120</v>
      </c>
      <c r="AD361" s="394" t="s">
        <v>119</v>
      </c>
    </row>
    <row r="362" spans="28:30" ht="12.75">
      <c r="AB362" s="1">
        <v>290</v>
      </c>
      <c r="AC362" s="394" t="s">
        <v>36</v>
      </c>
      <c r="AD362" s="394" t="s">
        <v>35</v>
      </c>
    </row>
    <row r="363" spans="28:30" ht="12.75">
      <c r="AB363" s="1">
        <v>291</v>
      </c>
      <c r="AC363" s="394" t="s">
        <v>575</v>
      </c>
      <c r="AD363" s="394" t="s">
        <v>574</v>
      </c>
    </row>
    <row r="364" spans="28:30" ht="12.75">
      <c r="AB364" s="1">
        <v>292</v>
      </c>
      <c r="AC364" s="1" t="s">
        <v>720</v>
      </c>
      <c r="AD364" s="1" t="s">
        <v>721</v>
      </c>
    </row>
    <row r="365" spans="28:36" ht="12.75">
      <c r="AB365" s="1">
        <v>293</v>
      </c>
      <c r="AC365" s="394" t="s">
        <v>755</v>
      </c>
      <c r="AD365" s="394" t="s">
        <v>576</v>
      </c>
      <c r="AG365" s="1">
        <v>283</v>
      </c>
      <c r="AH365" s="397" t="s">
        <v>742</v>
      </c>
      <c r="AI365" s="337" t="s">
        <v>577</v>
      </c>
      <c r="AJ365" s="1" t="s">
        <v>741</v>
      </c>
    </row>
    <row r="366" spans="28:30" ht="12.75">
      <c r="AB366" s="1">
        <v>294</v>
      </c>
      <c r="AC366" s="394" t="s">
        <v>418</v>
      </c>
      <c r="AD366" s="394" t="s">
        <v>417</v>
      </c>
    </row>
    <row r="367" spans="28:30" ht="12.75">
      <c r="AB367" s="1">
        <v>295</v>
      </c>
      <c r="AC367" s="394" t="s">
        <v>420</v>
      </c>
      <c r="AD367" s="394" t="s">
        <v>419</v>
      </c>
    </row>
    <row r="368" spans="28:30" ht="12.75">
      <c r="AB368" s="1">
        <v>296</v>
      </c>
      <c r="AC368" s="394" t="s">
        <v>422</v>
      </c>
      <c r="AD368" s="394" t="s">
        <v>421</v>
      </c>
    </row>
    <row r="369" spans="28:30" ht="12.75">
      <c r="AB369" s="1">
        <v>297</v>
      </c>
      <c r="AC369" s="394" t="s">
        <v>932</v>
      </c>
      <c r="AD369" s="394" t="s">
        <v>933</v>
      </c>
    </row>
    <row r="370" spans="28:30" ht="12.75">
      <c r="AB370" s="1">
        <v>298</v>
      </c>
      <c r="AC370" s="394" t="s">
        <v>424</v>
      </c>
      <c r="AD370" s="394" t="s">
        <v>423</v>
      </c>
    </row>
    <row r="371" spans="28:30" ht="12.75">
      <c r="AB371" s="1">
        <v>299</v>
      </c>
      <c r="AC371" s="394" t="s">
        <v>299</v>
      </c>
      <c r="AD371" s="394" t="s">
        <v>298</v>
      </c>
    </row>
    <row r="372" spans="28:30" ht="12.75">
      <c r="AB372" s="1">
        <v>300</v>
      </c>
      <c r="AC372" s="394" t="s">
        <v>512</v>
      </c>
      <c r="AD372" s="394" t="s">
        <v>511</v>
      </c>
    </row>
    <row r="373" spans="28:30" ht="12.75">
      <c r="AB373" s="1">
        <v>301</v>
      </c>
      <c r="AC373" s="394" t="s">
        <v>962</v>
      </c>
      <c r="AD373" s="394" t="s">
        <v>427</v>
      </c>
    </row>
    <row r="374" spans="28:30" ht="12.75">
      <c r="AB374" s="1">
        <v>302</v>
      </c>
      <c r="AC374" s="394" t="s">
        <v>530</v>
      </c>
      <c r="AD374" s="394" t="s">
        <v>529</v>
      </c>
    </row>
    <row r="375" spans="28:30" ht="12.75">
      <c r="AB375" s="1">
        <v>303</v>
      </c>
      <c r="AC375" s="394" t="s">
        <v>786</v>
      </c>
      <c r="AD375" s="394" t="s">
        <v>787</v>
      </c>
    </row>
    <row r="376" spans="28:30" ht="12.75">
      <c r="AB376" s="1">
        <v>304</v>
      </c>
      <c r="AC376" s="394" t="s">
        <v>416</v>
      </c>
      <c r="AD376" s="394" t="s">
        <v>415</v>
      </c>
    </row>
    <row r="377" spans="28:30" ht="12.75">
      <c r="AB377" s="1">
        <v>305</v>
      </c>
      <c r="AC377" s="394" t="s">
        <v>106</v>
      </c>
      <c r="AD377" s="394" t="s">
        <v>105</v>
      </c>
    </row>
    <row r="378" spans="28:30" ht="12.75">
      <c r="AB378" s="1">
        <v>306</v>
      </c>
      <c r="AC378" s="394" t="s">
        <v>514</v>
      </c>
      <c r="AD378" s="394" t="s">
        <v>513</v>
      </c>
    </row>
    <row r="379" spans="28:30" ht="12.75">
      <c r="AB379" s="1">
        <v>307</v>
      </c>
      <c r="AC379" s="394" t="s">
        <v>368</v>
      </c>
      <c r="AD379" s="394" t="s">
        <v>367</v>
      </c>
    </row>
    <row r="380" spans="28:30" ht="12.75">
      <c r="AB380" s="1">
        <v>308</v>
      </c>
      <c r="AC380" s="394" t="s">
        <v>1202</v>
      </c>
      <c r="AD380" s="394" t="s">
        <v>1201</v>
      </c>
    </row>
    <row r="381" spans="28:30" ht="12.75">
      <c r="AB381" s="1">
        <v>309</v>
      </c>
      <c r="AC381" s="394" t="s">
        <v>1520</v>
      </c>
      <c r="AD381" s="394" t="s">
        <v>1521</v>
      </c>
    </row>
    <row r="382" spans="28:30" ht="12.75">
      <c r="AB382" s="1">
        <v>310</v>
      </c>
      <c r="AC382" s="394" t="s">
        <v>551</v>
      </c>
      <c r="AD382" s="394" t="s">
        <v>550</v>
      </c>
    </row>
    <row r="383" spans="28:30" ht="12.75">
      <c r="AB383" s="1">
        <v>311</v>
      </c>
      <c r="AC383" s="394" t="s">
        <v>503</v>
      </c>
      <c r="AD383" s="394" t="s">
        <v>502</v>
      </c>
    </row>
    <row r="384" spans="28:30" ht="12.75">
      <c r="AB384" s="1">
        <v>312</v>
      </c>
      <c r="AC384" s="394" t="s">
        <v>402</v>
      </c>
      <c r="AD384" s="394" t="s">
        <v>401</v>
      </c>
    </row>
    <row r="385" spans="28:30" ht="12.75">
      <c r="AB385" s="1">
        <v>313</v>
      </c>
      <c r="AC385" s="394" t="s">
        <v>429</v>
      </c>
      <c r="AD385" s="394" t="s">
        <v>428</v>
      </c>
    </row>
    <row r="386" spans="28:30" ht="12.75">
      <c r="AB386" s="1">
        <v>314</v>
      </c>
      <c r="AC386" s="394" t="s">
        <v>400</v>
      </c>
      <c r="AD386" s="394" t="s">
        <v>399</v>
      </c>
    </row>
    <row r="387" spans="28:30" ht="12.75">
      <c r="AB387" s="1">
        <v>315</v>
      </c>
      <c r="AC387" s="394" t="s">
        <v>522</v>
      </c>
      <c r="AD387" s="394" t="s">
        <v>521</v>
      </c>
    </row>
    <row r="388" spans="28:30" ht="12.75">
      <c r="AB388" s="1">
        <v>316</v>
      </c>
      <c r="AC388" s="394" t="s">
        <v>542</v>
      </c>
      <c r="AD388" s="394" t="s">
        <v>541</v>
      </c>
    </row>
    <row r="389" spans="28:30" ht="12.75">
      <c r="AB389" s="1">
        <v>317</v>
      </c>
      <c r="AC389" s="394" t="s">
        <v>431</v>
      </c>
      <c r="AD389" s="394" t="s">
        <v>430</v>
      </c>
    </row>
    <row r="390" spans="28:30" ht="12.75">
      <c r="AB390" s="1">
        <v>318</v>
      </c>
      <c r="AC390" s="394" t="s">
        <v>773</v>
      </c>
      <c r="AD390" s="394" t="s">
        <v>774</v>
      </c>
    </row>
    <row r="391" spans="28:30" ht="12.75">
      <c r="AB391" s="1">
        <v>319</v>
      </c>
      <c r="AC391" s="394" t="s">
        <v>934</v>
      </c>
      <c r="AD391" s="394" t="s">
        <v>957</v>
      </c>
    </row>
    <row r="392" spans="28:30" ht="12.75">
      <c r="AB392" s="1">
        <v>320</v>
      </c>
      <c r="AC392" s="394" t="s">
        <v>536</v>
      </c>
      <c r="AD392" s="394" t="s">
        <v>535</v>
      </c>
    </row>
    <row r="393" spans="28:30" ht="12.75">
      <c r="AB393" s="1">
        <v>321</v>
      </c>
      <c r="AC393" s="1" t="s">
        <v>1195</v>
      </c>
      <c r="AD393" s="1" t="s">
        <v>1196</v>
      </c>
    </row>
    <row r="394" spans="28:30" ht="12.75">
      <c r="AB394" s="1">
        <v>322</v>
      </c>
      <c r="AC394" s="394" t="s">
        <v>433</v>
      </c>
      <c r="AD394" s="394" t="s">
        <v>432</v>
      </c>
    </row>
    <row r="395" spans="28:30" ht="12.75">
      <c r="AB395" s="1">
        <v>323</v>
      </c>
      <c r="AC395" s="394" t="s">
        <v>435</v>
      </c>
      <c r="AD395" s="394" t="s">
        <v>434</v>
      </c>
    </row>
    <row r="396" spans="28:30" ht="12.75">
      <c r="AB396" s="1">
        <v>324</v>
      </c>
      <c r="AC396" s="394" t="s">
        <v>437</v>
      </c>
      <c r="AD396" s="394" t="s">
        <v>436</v>
      </c>
    </row>
    <row r="397" spans="28:30" ht="12.75">
      <c r="AB397" s="1">
        <v>325</v>
      </c>
      <c r="AC397" s="394" t="s">
        <v>439</v>
      </c>
      <c r="AD397" s="394" t="s">
        <v>438</v>
      </c>
    </row>
    <row r="398" spans="28:30" ht="12.75">
      <c r="AB398" s="1">
        <v>326</v>
      </c>
      <c r="AC398" s="394" t="s">
        <v>441</v>
      </c>
      <c r="AD398" s="394" t="s">
        <v>440</v>
      </c>
    </row>
    <row r="399" spans="28:30" ht="12.75">
      <c r="AB399" s="1">
        <v>327</v>
      </c>
      <c r="AC399" s="394" t="s">
        <v>443</v>
      </c>
      <c r="AD399" s="394" t="s">
        <v>442</v>
      </c>
    </row>
    <row r="400" spans="28:30" ht="12.75">
      <c r="AB400" s="1">
        <v>328</v>
      </c>
      <c r="AC400" s="394" t="s">
        <v>445</v>
      </c>
      <c r="AD400" s="394" t="s">
        <v>444</v>
      </c>
    </row>
    <row r="401" spans="28:30" ht="12.75">
      <c r="AB401" s="1">
        <v>329</v>
      </c>
      <c r="AC401" s="394" t="s">
        <v>447</v>
      </c>
      <c r="AD401" s="394" t="s">
        <v>446</v>
      </c>
    </row>
    <row r="402" spans="28:30" ht="12.75">
      <c r="AB402" s="1">
        <v>330</v>
      </c>
      <c r="AC402" s="394" t="s">
        <v>450</v>
      </c>
      <c r="AD402" s="394" t="s">
        <v>449</v>
      </c>
    </row>
    <row r="403" spans="28:30" ht="12.75">
      <c r="AB403" s="1">
        <v>331</v>
      </c>
      <c r="AC403" s="394" t="s">
        <v>911</v>
      </c>
      <c r="AD403" s="394" t="s">
        <v>912</v>
      </c>
    </row>
    <row r="404" spans="28:30" ht="12.75">
      <c r="AB404" s="1">
        <v>332</v>
      </c>
      <c r="AC404" s="394" t="s">
        <v>86</v>
      </c>
      <c r="AD404" s="394" t="s">
        <v>85</v>
      </c>
    </row>
    <row r="405" spans="28:30" ht="12.75">
      <c r="AB405" s="1">
        <v>333</v>
      </c>
      <c r="AC405" s="394" t="s">
        <v>452</v>
      </c>
      <c r="AD405" s="394" t="s">
        <v>451</v>
      </c>
    </row>
    <row r="406" spans="28:30" ht="12.75">
      <c r="AB406" s="1">
        <v>334</v>
      </c>
      <c r="AC406" s="394" t="s">
        <v>414</v>
      </c>
      <c r="AD406" s="394" t="s">
        <v>413</v>
      </c>
    </row>
    <row r="407" spans="28:30" ht="12.75">
      <c r="AB407" s="1">
        <v>335</v>
      </c>
      <c r="AC407" s="394" t="s">
        <v>1250</v>
      </c>
      <c r="AD407" s="394" t="s">
        <v>1251</v>
      </c>
    </row>
    <row r="408" spans="28:30" ht="12.75">
      <c r="AB408" s="1">
        <v>336</v>
      </c>
      <c r="AC408" s="394" t="s">
        <v>1516</v>
      </c>
      <c r="AD408" s="394" t="s">
        <v>1517</v>
      </c>
    </row>
    <row r="409" spans="28:30" ht="12.75">
      <c r="AB409" s="1">
        <v>337</v>
      </c>
      <c r="AC409" s="394" t="s">
        <v>456</v>
      </c>
      <c r="AD409" s="394" t="s">
        <v>455</v>
      </c>
    </row>
    <row r="410" spans="28:30" ht="12.75">
      <c r="AB410" s="1">
        <v>338</v>
      </c>
      <c r="AC410" s="394" t="s">
        <v>524</v>
      </c>
      <c r="AD410" s="394" t="s">
        <v>523</v>
      </c>
    </row>
    <row r="411" spans="28:30" ht="12.75">
      <c r="AB411" s="1">
        <v>339</v>
      </c>
      <c r="AC411" s="394" t="s">
        <v>458</v>
      </c>
      <c r="AD411" s="394" t="s">
        <v>457</v>
      </c>
    </row>
    <row r="412" spans="28:30" ht="12.75">
      <c r="AB412" s="1">
        <v>340</v>
      </c>
      <c r="AC412" s="394" t="s">
        <v>1510</v>
      </c>
      <c r="AD412" s="394" t="s">
        <v>1511</v>
      </c>
    </row>
    <row r="413" spans="28:30" ht="12.75">
      <c r="AB413" s="1">
        <v>341</v>
      </c>
      <c r="AC413" s="394" t="s">
        <v>460</v>
      </c>
      <c r="AD413" s="394" t="s">
        <v>459</v>
      </c>
    </row>
    <row r="414" spans="28:30" ht="12.75">
      <c r="AB414" s="1">
        <v>342</v>
      </c>
      <c r="AC414" s="394" t="s">
        <v>376</v>
      </c>
      <c r="AD414" s="394" t="s">
        <v>375</v>
      </c>
    </row>
    <row r="415" spans="28:30" ht="12.75">
      <c r="AB415" s="1">
        <v>343</v>
      </c>
      <c r="AC415" s="394" t="s">
        <v>1380</v>
      </c>
      <c r="AD415" s="394" t="s">
        <v>510</v>
      </c>
    </row>
    <row r="416" spans="28:30" ht="12.75">
      <c r="AB416" s="1">
        <v>344</v>
      </c>
      <c r="AC416" s="394" t="s">
        <v>462</v>
      </c>
      <c r="AD416" s="394" t="s">
        <v>461</v>
      </c>
    </row>
    <row r="417" spans="28:30" ht="12.75">
      <c r="AB417" s="1">
        <v>345</v>
      </c>
      <c r="AC417" s="394" t="s">
        <v>960</v>
      </c>
      <c r="AD417" s="394" t="s">
        <v>961</v>
      </c>
    </row>
    <row r="418" spans="28:30" ht="12.75">
      <c r="AB418" s="1">
        <v>346</v>
      </c>
      <c r="AC418" s="394" t="s">
        <v>464</v>
      </c>
      <c r="AD418" s="394" t="s">
        <v>463</v>
      </c>
    </row>
    <row r="419" spans="28:30" ht="12.75">
      <c r="AB419" s="1">
        <v>347</v>
      </c>
      <c r="AC419" s="1" t="s">
        <v>736</v>
      </c>
      <c r="AD419" s="1" t="s">
        <v>582</v>
      </c>
    </row>
    <row r="420" spans="28:30" ht="12.75">
      <c r="AB420" s="1">
        <v>348</v>
      </c>
      <c r="AC420" s="1" t="s">
        <v>922</v>
      </c>
      <c r="AD420" s="394" t="s">
        <v>923</v>
      </c>
    </row>
    <row r="421" spans="28:30" ht="12.75">
      <c r="AB421" s="1">
        <v>349</v>
      </c>
      <c r="AC421" s="394" t="s">
        <v>466</v>
      </c>
      <c r="AD421" s="394" t="s">
        <v>465</v>
      </c>
    </row>
    <row r="422" spans="28:30" ht="12.75">
      <c r="AB422" s="1">
        <v>350</v>
      </c>
      <c r="AC422" s="394" t="s">
        <v>468</v>
      </c>
      <c r="AD422" s="394" t="s">
        <v>467</v>
      </c>
    </row>
    <row r="423" spans="28:30" ht="12.75">
      <c r="AB423" s="1">
        <v>351</v>
      </c>
      <c r="AC423" s="394" t="s">
        <v>775</v>
      </c>
      <c r="AD423" s="394" t="s">
        <v>776</v>
      </c>
    </row>
    <row r="424" spans="28:30" ht="12.75">
      <c r="AB424" s="1">
        <v>352</v>
      </c>
      <c r="AC424" s="394" t="s">
        <v>470</v>
      </c>
      <c r="AD424" s="394" t="s">
        <v>469</v>
      </c>
    </row>
    <row r="425" spans="28:30" ht="12.75">
      <c r="AB425" s="1">
        <v>353</v>
      </c>
      <c r="AC425" s="394" t="s">
        <v>1109</v>
      </c>
      <c r="AD425" s="394" t="s">
        <v>1110</v>
      </c>
    </row>
    <row r="426" spans="28:30" ht="12.75">
      <c r="AB426" s="1">
        <v>354</v>
      </c>
      <c r="AC426" s="394" t="s">
        <v>472</v>
      </c>
      <c r="AD426" s="394" t="s">
        <v>471</v>
      </c>
    </row>
    <row r="427" spans="28:30" ht="12.75">
      <c r="AB427" s="1">
        <v>355</v>
      </c>
      <c r="AC427" s="394" t="s">
        <v>538</v>
      </c>
      <c r="AD427" s="394" t="s">
        <v>537</v>
      </c>
    </row>
    <row r="428" spans="28:30" ht="12.75">
      <c r="AB428" s="1">
        <v>356</v>
      </c>
      <c r="AC428" s="394" t="s">
        <v>474</v>
      </c>
      <c r="AD428" s="394" t="s">
        <v>473</v>
      </c>
    </row>
    <row r="429" spans="28:30" ht="12.75">
      <c r="AB429" s="1">
        <v>357</v>
      </c>
      <c r="AC429" s="394" t="s">
        <v>476</v>
      </c>
      <c r="AD429" s="394" t="s">
        <v>475</v>
      </c>
    </row>
    <row r="430" spans="28:30" ht="12.75">
      <c r="AB430" s="1">
        <v>358</v>
      </c>
      <c r="AC430" s="394" t="s">
        <v>478</v>
      </c>
      <c r="AD430" s="394" t="s">
        <v>477</v>
      </c>
    </row>
    <row r="431" spans="28:30" ht="12.75">
      <c r="AB431" s="1">
        <v>359</v>
      </c>
      <c r="AC431" s="394" t="s">
        <v>480</v>
      </c>
      <c r="AD431" s="394" t="s">
        <v>479</v>
      </c>
    </row>
    <row r="432" spans="28:30" ht="12.75">
      <c r="AB432" s="1">
        <v>360</v>
      </c>
      <c r="AC432" s="1" t="s">
        <v>737</v>
      </c>
      <c r="AD432" s="1" t="s">
        <v>738</v>
      </c>
    </row>
    <row r="433" spans="28:30" ht="12.75">
      <c r="AB433" s="1">
        <v>361</v>
      </c>
      <c r="AC433" s="1" t="s">
        <v>760</v>
      </c>
      <c r="AD433" s="1" t="s">
        <v>761</v>
      </c>
    </row>
    <row r="434" spans="28:30" ht="12.75">
      <c r="AB434" s="1">
        <v>362</v>
      </c>
      <c r="AC434" s="394" t="s">
        <v>482</v>
      </c>
      <c r="AD434" s="394" t="s">
        <v>481</v>
      </c>
    </row>
    <row r="435" spans="28:30" ht="12.75">
      <c r="AB435" s="1">
        <v>363</v>
      </c>
      <c r="AC435" s="394" t="s">
        <v>206</v>
      </c>
      <c r="AD435" s="394" t="s">
        <v>205</v>
      </c>
    </row>
    <row r="436" spans="28:30" ht="12.75">
      <c r="AB436" s="1">
        <v>364</v>
      </c>
      <c r="AC436" s="394" t="s">
        <v>484</v>
      </c>
      <c r="AD436" s="394" t="s">
        <v>483</v>
      </c>
    </row>
    <row r="437" spans="28:30" ht="12.75">
      <c r="AB437" s="1">
        <v>365</v>
      </c>
      <c r="AC437" s="1" t="s">
        <v>793</v>
      </c>
      <c r="AD437" s="337" t="s">
        <v>756</v>
      </c>
    </row>
  </sheetData>
  <sheetProtection password="9D8A" sheet="1" selectLockedCells="1"/>
  <mergeCells count="21">
    <mergeCell ref="O31:T36"/>
    <mergeCell ref="J16:M16"/>
    <mergeCell ref="B33:E33"/>
    <mergeCell ref="F29:G29"/>
    <mergeCell ref="F33:G33"/>
    <mergeCell ref="B29:E30"/>
    <mergeCell ref="B18:G18"/>
    <mergeCell ref="C26:G27"/>
    <mergeCell ref="C20:G20"/>
    <mergeCell ref="Q12:T12"/>
    <mergeCell ref="J12:M12"/>
    <mergeCell ref="J18:M18"/>
    <mergeCell ref="K20:M20"/>
    <mergeCell ref="J14:M14"/>
    <mergeCell ref="O26:T30"/>
    <mergeCell ref="J56:K56"/>
    <mergeCell ref="B22:G22"/>
    <mergeCell ref="B24:G24"/>
    <mergeCell ref="B12:G12"/>
    <mergeCell ref="B14:G14"/>
    <mergeCell ref="B16:G16"/>
  </mergeCells>
  <dataValidations count="4">
    <dataValidation type="whole" allowBlank="1" showInputMessage="1" showErrorMessage="1" prompt="Enter the 9-Digit FFA Membership Number from the FFA Roster." error="Must Be the 9- Digit FFA Membership Number from your Chapter's Membership Roster!" sqref="J14:M14">
      <formula1>100000000</formula1>
      <formula2>999999999</formula2>
    </dataValidation>
    <dataValidation type="list" showInputMessage="1" showErrorMessage="1" prompt="Select Yes or No" sqref="B29:E30 B33:E33">
      <formula1>$D$66:$D$68</formula1>
    </dataValidation>
    <dataValidation type="list" showInputMessage="1" showErrorMessage="1" prompt="Select Area that you are applying in" sqref="C26:G27">
      <formula1>$D$60:$D$64</formula1>
    </dataValidation>
    <dataValidation type="list" showInputMessage="1" showErrorMessage="1" prompt="Select your FFA Chapter" sqref="B12:G12">
      <formula1>$AC$73:$AC$436</formula1>
    </dataValidation>
  </dataValidations>
  <printOptions horizontalCentered="1" verticalCentered="1"/>
  <pageMargins left="0.25" right="0.25" top="0.45" bottom="0.25" header="0" footer="0"/>
  <pageSetup fitToHeight="1" fitToWidth="1"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Q77"/>
  <sheetViews>
    <sheetView showGridLines="0" showZeros="0" zoomScalePageLayoutView="0" workbookViewId="0" topLeftCell="A1">
      <selection activeCell="A8" sqref="A8"/>
    </sheetView>
  </sheetViews>
  <sheetFormatPr defaultColWidth="11.421875" defaultRowHeight="12.75"/>
  <cols>
    <col min="1" max="1" width="5.7109375" style="405" customWidth="1"/>
    <col min="2" max="2" width="8.7109375" style="405" customWidth="1"/>
    <col min="3" max="3" width="18.7109375" style="405" customWidth="1"/>
    <col min="4" max="4" width="27.28125" style="405" customWidth="1"/>
    <col min="5" max="9" width="14.00390625" style="405" customWidth="1"/>
    <col min="10" max="10" width="7.7109375" style="405" hidden="1" customWidth="1"/>
    <col min="11" max="11" width="4.7109375" style="405" hidden="1" customWidth="1"/>
    <col min="12" max="12" width="5.7109375" style="405" hidden="1" customWidth="1"/>
    <col min="13" max="31" width="11.421875" style="405" hidden="1" customWidth="1"/>
    <col min="32" max="82" width="0" style="405" hidden="1" customWidth="1"/>
    <col min="83" max="16384" width="11.421875" style="405" customWidth="1"/>
  </cols>
  <sheetData>
    <row r="1" ht="15.75" customHeight="1">
      <c r="A1" s="404"/>
    </row>
    <row r="2" ht="19.5" customHeight="1"/>
    <row r="3" ht="19.5" customHeight="1"/>
    <row r="4" ht="19.5" customHeight="1"/>
    <row r="5" ht="19.5" customHeight="1"/>
    <row r="6" ht="19.5" customHeight="1"/>
    <row r="7" spans="1:9" ht="36.75" customHeight="1">
      <c r="A7" s="2"/>
      <c r="B7" s="284" t="s">
        <v>586</v>
      </c>
      <c r="C7" s="834">
        <f>Cover!$B$14</f>
        <v>0</v>
      </c>
      <c r="D7" s="834"/>
      <c r="E7" s="3"/>
      <c r="F7" s="284" t="s">
        <v>587</v>
      </c>
      <c r="G7" s="833" t="str">
        <f>Cover!$B$12</f>
        <v> SELECT FROM LIST</v>
      </c>
      <c r="H7" s="833"/>
      <c r="I7" s="833"/>
    </row>
    <row r="8" spans="1:17" ht="28.5" customHeight="1">
      <c r="A8" s="619" t="s">
        <v>588</v>
      </c>
      <c r="B8" s="3"/>
      <c r="C8" s="3"/>
      <c r="D8" s="3"/>
      <c r="E8" s="3"/>
      <c r="F8" s="57"/>
      <c r="G8" s="835">
        <f>Cover!$J$14</f>
        <v>0</v>
      </c>
      <c r="H8" s="835"/>
      <c r="I8" s="835"/>
      <c r="Q8" s="404" t="s">
        <v>589</v>
      </c>
    </row>
    <row r="9" spans="1:17" ht="23.25" customHeight="1">
      <c r="A9" s="842" t="str">
        <f>$Q$12</f>
        <v>You MUST place an "X" in the cell above your last year of records!</v>
      </c>
      <c r="B9" s="842"/>
      <c r="C9" s="842"/>
      <c r="D9" s="842"/>
      <c r="E9" s="842"/>
      <c r="F9" s="842"/>
      <c r="G9" s="842"/>
      <c r="H9" s="842"/>
      <c r="I9" s="842"/>
      <c r="M9" s="404" t="s">
        <v>589</v>
      </c>
      <c r="Q9" s="406" t="s">
        <v>590</v>
      </c>
    </row>
    <row r="10" spans="1:17" ht="24.75" customHeight="1">
      <c r="A10" s="69"/>
      <c r="B10" s="407"/>
      <c r="C10" s="408" t="str">
        <f>$M$12</f>
        <v> MISSING X</v>
      </c>
      <c r="D10" s="409"/>
      <c r="E10" s="70"/>
      <c r="F10" s="134"/>
      <c r="G10" s="134"/>
      <c r="H10" s="134"/>
      <c r="I10" s="326" t="str">
        <f>$M$12</f>
        <v> MISSING X</v>
      </c>
      <c r="M10" s="405" t="str">
        <f>IF(F10="X",2,IF(G10="X",3,IF(H10="X",4,"ERROR")))</f>
        <v>ERROR</v>
      </c>
      <c r="N10" s="405">
        <f>IF(F10="X",1,0)</f>
        <v>0</v>
      </c>
      <c r="Q10" s="405">
        <f>COUNTBLANK(F10:H10)</f>
        <v>3</v>
      </c>
    </row>
    <row r="11" spans="1:9" ht="4.5" customHeight="1" hidden="1">
      <c r="A11" s="71"/>
      <c r="B11" s="72"/>
      <c r="C11" s="73"/>
      <c r="D11" s="73"/>
      <c r="E11" s="68"/>
      <c r="F11" s="56"/>
      <c r="G11" s="56"/>
      <c r="H11" s="56"/>
      <c r="I11" s="68"/>
    </row>
    <row r="12" spans="1:17" ht="24.75" customHeight="1">
      <c r="A12" s="4" t="s">
        <v>591</v>
      </c>
      <c r="B12" s="5"/>
      <c r="C12" s="6"/>
      <c r="D12" s="6"/>
      <c r="E12" s="7" t="s">
        <v>592</v>
      </c>
      <c r="F12" s="7" t="s">
        <v>593</v>
      </c>
      <c r="G12" s="7" t="s">
        <v>594</v>
      </c>
      <c r="H12" s="7" t="s">
        <v>595</v>
      </c>
      <c r="I12" s="7" t="s">
        <v>596</v>
      </c>
      <c r="M12" s="405" t="str">
        <f>IF(N14=0," MISSING X",IF(N14&lt;2,M9,"ERROR TWO X's"))</f>
        <v> MISSING X</v>
      </c>
      <c r="N12" s="405">
        <f>IF(G10="X",1,0)</f>
        <v>0</v>
      </c>
      <c r="Q12" s="405" t="str">
        <f>IF(Q10=2,Q8,Q9)</f>
        <v>You MUST place an "X" in the cell above your last year of records!</v>
      </c>
    </row>
    <row r="13" spans="1:14" ht="19.5" customHeight="1">
      <c r="A13" s="410" t="s">
        <v>1121</v>
      </c>
      <c r="B13" s="411"/>
      <c r="C13" s="412"/>
      <c r="D13" s="413" t="s">
        <v>597</v>
      </c>
      <c r="E13" s="274"/>
      <c r="F13" s="274"/>
      <c r="G13" s="274"/>
      <c r="H13" s="274"/>
      <c r="I13" s="275">
        <f>SUM($E$13:$H$13)</f>
        <v>0</v>
      </c>
      <c r="M13" s="405" t="str">
        <f>IF(I10=M9,0,"ERR")</f>
        <v>ERR</v>
      </c>
      <c r="N13" s="405">
        <f>IF(H10="X",1,0)</f>
        <v>0</v>
      </c>
    </row>
    <row r="14" spans="1:14" ht="19.5" customHeight="1" thickBot="1">
      <c r="A14" s="414" t="s">
        <v>598</v>
      </c>
      <c r="B14" s="415"/>
      <c r="C14" s="416"/>
      <c r="D14" s="417" t="s">
        <v>609</v>
      </c>
      <c r="E14" s="276"/>
      <c r="F14" s="276"/>
      <c r="G14" s="276"/>
      <c r="H14" s="276"/>
      <c r="I14" s="277">
        <f>SUM($E$14:$H$14)</f>
        <v>0</v>
      </c>
      <c r="N14" s="405">
        <f>SUM(N10:N13)</f>
        <v>0</v>
      </c>
    </row>
    <row r="15" spans="1:9" ht="19.5" customHeight="1" thickTop="1">
      <c r="A15" s="410" t="s">
        <v>599</v>
      </c>
      <c r="B15" s="411"/>
      <c r="C15" s="412"/>
      <c r="D15" s="413" t="s">
        <v>600</v>
      </c>
      <c r="E15" s="275">
        <f>+$E$13-$E$14</f>
        <v>0</v>
      </c>
      <c r="F15" s="275">
        <f>+$F$13-$F$14</f>
        <v>0</v>
      </c>
      <c r="G15" s="275">
        <f>+$G$13-$G$14</f>
        <v>0</v>
      </c>
      <c r="H15" s="275">
        <f>+$H$13-$H$14</f>
        <v>0</v>
      </c>
      <c r="I15" s="275">
        <f>SUM($E$15:$H$15)</f>
        <v>0</v>
      </c>
    </row>
    <row r="16" spans="1:9" ht="19.5" customHeight="1">
      <c r="A16" s="418" t="s">
        <v>601</v>
      </c>
      <c r="B16" s="419"/>
      <c r="C16" s="420"/>
      <c r="D16" s="421" t="s">
        <v>1119</v>
      </c>
      <c r="E16" s="285"/>
      <c r="F16" s="285"/>
      <c r="G16" s="285"/>
      <c r="H16" s="285"/>
      <c r="I16" s="286">
        <f>SUM($E$16:$H$16)</f>
        <v>0</v>
      </c>
    </row>
    <row r="17" spans="1:9" ht="19.5" customHeight="1">
      <c r="A17" s="422" t="s">
        <v>602</v>
      </c>
      <c r="B17" s="423"/>
      <c r="C17" s="423"/>
      <c r="D17" s="424"/>
      <c r="E17" s="321"/>
      <c r="F17" s="321"/>
      <c r="G17" s="321"/>
      <c r="H17" s="321"/>
      <c r="I17" s="286">
        <f>SUM($E$17:$H$17)</f>
        <v>0</v>
      </c>
    </row>
    <row r="18" spans="1:9" ht="19.5" customHeight="1">
      <c r="A18" s="12" t="s">
        <v>901</v>
      </c>
      <c r="B18" s="425"/>
      <c r="C18" s="426"/>
      <c r="D18" s="427" t="s">
        <v>603</v>
      </c>
      <c r="E18" s="287">
        <f>+$E$15+($E$16+$E$17)</f>
        <v>0</v>
      </c>
      <c r="F18" s="287">
        <f>+$F$15+($F$16+$F$17)</f>
        <v>0</v>
      </c>
      <c r="G18" s="287">
        <f>+$G$15+($G$16+$G$17)</f>
        <v>0</v>
      </c>
      <c r="H18" s="287">
        <f>+$H$15+($H$16+$H$17)</f>
        <v>0</v>
      </c>
      <c r="I18" s="287">
        <f>SUM($E$18:$H$18)</f>
        <v>0</v>
      </c>
    </row>
    <row r="19" spans="1:9" ht="14.25" customHeight="1">
      <c r="A19" s="428" t="s">
        <v>604</v>
      </c>
      <c r="B19" s="429"/>
      <c r="C19" s="430"/>
      <c r="D19" s="431"/>
      <c r="E19" s="278"/>
      <c r="F19" s="278"/>
      <c r="G19" s="278"/>
      <c r="H19" s="278"/>
      <c r="I19" s="278"/>
    </row>
    <row r="20" spans="1:9" s="435" customFormat="1" ht="4.5" customHeight="1">
      <c r="A20" s="432"/>
      <c r="B20" s="433"/>
      <c r="C20" s="434"/>
      <c r="D20" s="434"/>
      <c r="E20" s="329"/>
      <c r="F20" s="329"/>
      <c r="G20" s="329"/>
      <c r="H20" s="329"/>
      <c r="I20" s="330"/>
    </row>
    <row r="21" spans="1:9" ht="24" customHeight="1">
      <c r="A21" s="327"/>
      <c r="B21" s="64"/>
      <c r="C21" s="65"/>
      <c r="D21" s="66"/>
      <c r="E21" s="67"/>
      <c r="F21" s="67"/>
      <c r="G21" s="67"/>
      <c r="H21" s="67"/>
      <c r="I21" s="328" t="str">
        <f>$E$62</f>
        <v> </v>
      </c>
    </row>
    <row r="22" spans="1:9" ht="25.5" customHeight="1">
      <c r="A22" s="839" t="str">
        <f>$Q$12</f>
        <v>You MUST place an "X" in the cell above your last year of records!</v>
      </c>
      <c r="B22" s="840"/>
      <c r="C22" s="840"/>
      <c r="D22" s="840"/>
      <c r="E22" s="840"/>
      <c r="F22" s="840"/>
      <c r="G22" s="840"/>
      <c r="H22" s="840"/>
      <c r="I22" s="841"/>
    </row>
    <row r="23" spans="1:17" ht="24.75" customHeight="1">
      <c r="A23" s="4" t="s">
        <v>606</v>
      </c>
      <c r="B23" s="5"/>
      <c r="C23" s="436"/>
      <c r="D23" s="437"/>
      <c r="E23" s="7" t="s">
        <v>592</v>
      </c>
      <c r="F23" s="7" t="s">
        <v>593</v>
      </c>
      <c r="G23" s="7" t="s">
        <v>594</v>
      </c>
      <c r="H23" s="7" t="s">
        <v>595</v>
      </c>
      <c r="I23" s="7" t="s">
        <v>596</v>
      </c>
      <c r="M23" s="405" t="s">
        <v>589</v>
      </c>
      <c r="O23" s="405" t="s">
        <v>589</v>
      </c>
      <c r="Q23" s="405" t="s">
        <v>659</v>
      </c>
    </row>
    <row r="24" spans="1:9" ht="19.5" customHeight="1">
      <c r="A24" s="438" t="s">
        <v>1122</v>
      </c>
      <c r="B24" s="439"/>
      <c r="C24" s="440"/>
      <c r="D24" s="413" t="s">
        <v>607</v>
      </c>
      <c r="E24" s="274"/>
      <c r="F24" s="274"/>
      <c r="G24" s="274"/>
      <c r="H24" s="274"/>
      <c r="I24" s="275">
        <f>SUM($E$24:$H$24)</f>
        <v>0</v>
      </c>
    </row>
    <row r="25" spans="1:9" ht="19.5" customHeight="1" thickBot="1">
      <c r="A25" s="441" t="s">
        <v>608</v>
      </c>
      <c r="B25" s="442"/>
      <c r="C25" s="443"/>
      <c r="D25" s="417" t="s">
        <v>1120</v>
      </c>
      <c r="E25" s="276"/>
      <c r="F25" s="276"/>
      <c r="G25" s="276"/>
      <c r="H25" s="276"/>
      <c r="I25" s="277">
        <f>SUM($E$25:$H$25)</f>
        <v>0</v>
      </c>
    </row>
    <row r="26" spans="1:9" ht="30" customHeight="1" thickTop="1">
      <c r="A26" s="438" t="s">
        <v>900</v>
      </c>
      <c r="B26" s="411"/>
      <c r="C26" s="444"/>
      <c r="D26" s="445" t="s">
        <v>610</v>
      </c>
      <c r="E26" s="275">
        <f>+$E$24-$E$25</f>
        <v>0</v>
      </c>
      <c r="F26" s="275">
        <f>+$F$24-$F$25</f>
        <v>0</v>
      </c>
      <c r="G26" s="275">
        <f>+$G$24-$G$25</f>
        <v>0</v>
      </c>
      <c r="H26" s="275">
        <f>+$H$24-$H$25</f>
        <v>0</v>
      </c>
      <c r="I26" s="275">
        <f>SUM($E$26:$H$26)</f>
        <v>0</v>
      </c>
    </row>
    <row r="27" spans="1:9" ht="9.75" customHeight="1">
      <c r="A27" s="446"/>
      <c r="B27" s="447"/>
      <c r="C27" s="448"/>
      <c r="D27" s="449"/>
      <c r="E27" s="450"/>
      <c r="F27" s="450"/>
      <c r="G27" s="450"/>
      <c r="H27" s="450"/>
      <c r="I27" s="322"/>
    </row>
    <row r="28" spans="1:17" ht="24.75" customHeight="1">
      <c r="A28" s="4" t="s">
        <v>1150</v>
      </c>
      <c r="B28" s="5"/>
      <c r="C28" s="436"/>
      <c r="D28" s="437"/>
      <c r="E28" s="7" t="s">
        <v>592</v>
      </c>
      <c r="F28" s="7" t="s">
        <v>593</v>
      </c>
      <c r="G28" s="7" t="s">
        <v>594</v>
      </c>
      <c r="H28" s="7" t="s">
        <v>595</v>
      </c>
      <c r="I28" s="7" t="s">
        <v>596</v>
      </c>
      <c r="M28" s="405" t="s">
        <v>589</v>
      </c>
      <c r="O28" s="405" t="s">
        <v>589</v>
      </c>
      <c r="Q28" s="405" t="s">
        <v>659</v>
      </c>
    </row>
    <row r="29" spans="1:9" ht="19.5" customHeight="1">
      <c r="A29" s="451" t="s">
        <v>1128</v>
      </c>
      <c r="B29" s="439"/>
      <c r="C29" s="440"/>
      <c r="D29" s="413" t="s">
        <v>1123</v>
      </c>
      <c r="E29" s="274"/>
      <c r="F29" s="274"/>
      <c r="G29" s="274"/>
      <c r="H29" s="274"/>
      <c r="I29" s="275">
        <f>SUM($E$29:$H$29)</f>
        <v>0</v>
      </c>
    </row>
    <row r="30" spans="1:9" ht="19.5" customHeight="1" thickBot="1">
      <c r="A30" s="452" t="s">
        <v>1126</v>
      </c>
      <c r="B30" s="453"/>
      <c r="C30" s="443"/>
      <c r="D30" s="417" t="s">
        <v>1124</v>
      </c>
      <c r="E30" s="276"/>
      <c r="F30" s="276"/>
      <c r="G30" s="276"/>
      <c r="H30" s="276"/>
      <c r="I30" s="277">
        <f>SUM($E$30:$H$30)</f>
        <v>0</v>
      </c>
    </row>
    <row r="31" spans="1:9" ht="30" customHeight="1" thickTop="1">
      <c r="A31" s="438" t="s">
        <v>1127</v>
      </c>
      <c r="B31" s="411"/>
      <c r="C31" s="444"/>
      <c r="D31" s="445" t="s">
        <v>1125</v>
      </c>
      <c r="E31" s="275">
        <f>+$E$29-$E$30</f>
        <v>0</v>
      </c>
      <c r="F31" s="275">
        <f>+$F$29-$F$30</f>
        <v>0</v>
      </c>
      <c r="G31" s="275">
        <f>+$G$29-$G$30</f>
        <v>0</v>
      </c>
      <c r="H31" s="275">
        <f>+$H$29-$H$30</f>
        <v>0</v>
      </c>
      <c r="I31" s="275">
        <f>SUM($E$31:$H$31)</f>
        <v>0</v>
      </c>
    </row>
    <row r="32" spans="1:9" ht="9.75" customHeight="1">
      <c r="A32" s="446"/>
      <c r="B32" s="447"/>
      <c r="C32" s="448"/>
      <c r="D32" s="449"/>
      <c r="E32" s="450"/>
      <c r="F32" s="450"/>
      <c r="G32" s="450"/>
      <c r="H32" s="450"/>
      <c r="I32" s="322"/>
    </row>
    <row r="33" spans="1:14" ht="25.5" customHeight="1">
      <c r="A33" s="839" t="str">
        <f>$M$33</f>
        <v>PLACE AN "X" ABOVE YOUR LAST YEAR OF RECORDS - ROW 10 ABOVE!</v>
      </c>
      <c r="B33" s="840"/>
      <c r="C33" s="840"/>
      <c r="D33" s="840"/>
      <c r="E33" s="840"/>
      <c r="F33" s="840"/>
      <c r="G33" s="840"/>
      <c r="H33" s="840"/>
      <c r="I33" s="841"/>
      <c r="M33" s="405" t="str">
        <f>IF($Q$10=2,N33,N34)</f>
        <v>PLACE AN "X" ABOVE YOUR LAST YEAR OF RECORDS - ROW 10 ABOVE!</v>
      </c>
      <c r="N33" s="404" t="s">
        <v>589</v>
      </c>
    </row>
    <row r="34" spans="1:14" ht="24.75" customHeight="1">
      <c r="A34" s="454" t="s">
        <v>611</v>
      </c>
      <c r="B34" s="455"/>
      <c r="C34" s="456"/>
      <c r="D34" s="456"/>
      <c r="E34" s="7" t="s">
        <v>592</v>
      </c>
      <c r="F34" s="7" t="s">
        <v>593</v>
      </c>
      <c r="G34" s="7" t="s">
        <v>594</v>
      </c>
      <c r="H34" s="7" t="s">
        <v>595</v>
      </c>
      <c r="I34" s="7" t="s">
        <v>596</v>
      </c>
      <c r="N34" s="404" t="s">
        <v>906</v>
      </c>
    </row>
    <row r="35" spans="1:15" ht="19.5" customHeight="1">
      <c r="A35" s="438" t="s">
        <v>1133</v>
      </c>
      <c r="B35" s="439"/>
      <c r="C35" s="440"/>
      <c r="D35" s="457" t="s">
        <v>1129</v>
      </c>
      <c r="E35" s="274"/>
      <c r="F35" s="274"/>
      <c r="G35" s="274"/>
      <c r="H35" s="274"/>
      <c r="I35" s="279" t="str">
        <f>$M$35</f>
        <v>MISSING</v>
      </c>
      <c r="M35" s="405" t="str">
        <f>IF($Q$10=2,N35,N36)</f>
        <v>MISSING</v>
      </c>
      <c r="N35" s="404" t="s">
        <v>589</v>
      </c>
      <c r="O35" s="404" t="s">
        <v>589</v>
      </c>
    </row>
    <row r="36" spans="1:15" ht="19.5" customHeight="1" thickBot="1">
      <c r="A36" s="441" t="s">
        <v>1134</v>
      </c>
      <c r="B36" s="442"/>
      <c r="C36" s="443"/>
      <c r="D36" s="458" t="s">
        <v>1130</v>
      </c>
      <c r="E36" s="276"/>
      <c r="F36" s="280">
        <f>IF($H$10="x",$E$35,IF($G$10="x",$E$35,IF($F$10="x",$E$35,0)))</f>
        <v>0</v>
      </c>
      <c r="G36" s="280">
        <f>IF($H$10="x",$F$35,IF($G$10="x",$F$35,))</f>
        <v>0</v>
      </c>
      <c r="H36" s="280">
        <f>IF($H$10="x",$G$35,0)</f>
        <v>0</v>
      </c>
      <c r="I36" s="281" t="str">
        <f>$M$36</f>
        <v>X ABOVE</v>
      </c>
      <c r="M36" s="405" t="str">
        <f>IF($Q$10=2,O35,O36)</f>
        <v>X ABOVE</v>
      </c>
      <c r="N36" s="404" t="s">
        <v>612</v>
      </c>
      <c r="O36" s="404" t="s">
        <v>613</v>
      </c>
    </row>
    <row r="37" spans="1:9" ht="19.5" customHeight="1" thickTop="1">
      <c r="A37" s="438" t="s">
        <v>1135</v>
      </c>
      <c r="B37" s="439"/>
      <c r="C37" s="440"/>
      <c r="D37" s="413" t="s">
        <v>1131</v>
      </c>
      <c r="E37" s="275">
        <f>+$E$35-$E$36</f>
        <v>0</v>
      </c>
      <c r="F37" s="282">
        <f>+$F$35-$F$36</f>
        <v>0</v>
      </c>
      <c r="G37" s="282">
        <f>+$G$35-$G$36</f>
        <v>0</v>
      </c>
      <c r="H37" s="282">
        <f>+$H$35-$H$36</f>
        <v>0</v>
      </c>
      <c r="I37" s="283">
        <f>SUM($E$37:$H$37)</f>
        <v>0</v>
      </c>
    </row>
    <row r="38" spans="1:9" ht="19.5" customHeight="1">
      <c r="A38" s="438" t="s">
        <v>1136</v>
      </c>
      <c r="B38" s="439"/>
      <c r="C38" s="440"/>
      <c r="D38" s="413" t="s">
        <v>1132</v>
      </c>
      <c r="E38" s="275">
        <f>$E$18+$E$26+$E$31</f>
        <v>0</v>
      </c>
      <c r="F38" s="275">
        <f>$F$18+$F$26+$F$31</f>
        <v>0</v>
      </c>
      <c r="G38" s="275">
        <f>$G$18+$G$26+$G$31</f>
        <v>0</v>
      </c>
      <c r="H38" s="275">
        <f>$H$18+$H$26+$H$31</f>
        <v>0</v>
      </c>
      <c r="I38" s="275">
        <f>SUM($E$38:$H$38)</f>
        <v>0</v>
      </c>
    </row>
    <row r="39" spans="1:9" ht="19.5" customHeight="1" thickBot="1">
      <c r="A39" s="441" t="s">
        <v>1137</v>
      </c>
      <c r="B39" s="442"/>
      <c r="C39" s="443"/>
      <c r="D39" s="417" t="s">
        <v>1173</v>
      </c>
      <c r="E39" s="276"/>
      <c r="F39" s="276"/>
      <c r="G39" s="276"/>
      <c r="H39" s="276"/>
      <c r="I39" s="277">
        <f>SUM($E$39:$H$39)</f>
        <v>0</v>
      </c>
    </row>
    <row r="40" spans="1:9" ht="19.5" customHeight="1" thickTop="1">
      <c r="A40" s="459" t="s">
        <v>1138</v>
      </c>
      <c r="B40" s="460"/>
      <c r="C40" s="461"/>
      <c r="D40" s="462" t="s">
        <v>614</v>
      </c>
      <c r="E40" s="275">
        <f>+$E$38+$E$39</f>
        <v>0</v>
      </c>
      <c r="F40" s="275">
        <f>+$F$38+$F$39</f>
        <v>0</v>
      </c>
      <c r="G40" s="275">
        <f>+$G$38+$G$39</f>
        <v>0</v>
      </c>
      <c r="H40" s="275">
        <f>+$H$38+$H$39</f>
        <v>0</v>
      </c>
      <c r="I40" s="275">
        <f>SUM($E$40:$H$40)</f>
        <v>0</v>
      </c>
    </row>
    <row r="41" spans="1:9" ht="18" customHeight="1">
      <c r="A41" s="463"/>
      <c r="B41" s="464"/>
      <c r="C41" s="464"/>
      <c r="D41" s="465"/>
      <c r="E41" s="836" t="s">
        <v>1139</v>
      </c>
      <c r="F41" s="837"/>
      <c r="G41" s="837"/>
      <c r="H41" s="837"/>
      <c r="I41" s="838"/>
    </row>
    <row r="42" spans="1:9" ht="4.5" customHeight="1">
      <c r="A42" s="466"/>
      <c r="B42" s="467"/>
      <c r="C42" s="467"/>
      <c r="D42" s="468"/>
      <c r="E42" s="469"/>
      <c r="F42" s="469"/>
      <c r="G42" s="469"/>
      <c r="H42" s="469"/>
      <c r="I42" s="470"/>
    </row>
    <row r="43" spans="1:9" ht="18" customHeight="1">
      <c r="A43" s="471"/>
      <c r="B43" s="472"/>
      <c r="C43" s="473"/>
      <c r="D43" s="473"/>
      <c r="E43" s="7" t="s">
        <v>592</v>
      </c>
      <c r="F43" s="7" t="s">
        <v>593</v>
      </c>
      <c r="G43" s="7" t="s">
        <v>594</v>
      </c>
      <c r="H43" s="7" t="s">
        <v>595</v>
      </c>
      <c r="I43" s="7" t="s">
        <v>596</v>
      </c>
    </row>
    <row r="44" spans="1:14" ht="18" customHeight="1">
      <c r="A44" s="474"/>
      <c r="B44" s="475"/>
      <c r="C44" s="475"/>
      <c r="D44" s="476"/>
      <c r="E44" s="780"/>
      <c r="F44" s="780"/>
      <c r="G44" s="780"/>
      <c r="H44" s="780"/>
      <c r="I44" s="477">
        <f>SUM($E$44:$H$44)</f>
        <v>0</v>
      </c>
      <c r="M44" s="405" t="s">
        <v>620</v>
      </c>
      <c r="N44" s="478">
        <f>$F$35+$E$44+$F$44</f>
        <v>0</v>
      </c>
    </row>
    <row r="45" spans="1:14" ht="18" customHeight="1">
      <c r="A45" s="474"/>
      <c r="B45" s="475"/>
      <c r="C45" s="475"/>
      <c r="D45" s="479"/>
      <c r="E45" s="781"/>
      <c r="F45" s="781"/>
      <c r="G45" s="781"/>
      <c r="H45" s="781"/>
      <c r="I45" s="477">
        <f>SUM($E$45:$H45)</f>
        <v>0</v>
      </c>
      <c r="M45" s="405" t="s">
        <v>621</v>
      </c>
      <c r="N45" s="478">
        <f>$G$35+$E$44+$F$44+$G$44</f>
        <v>0</v>
      </c>
    </row>
    <row r="46" spans="1:14" ht="24.75" customHeight="1">
      <c r="A46" s="480"/>
      <c r="B46" s="481"/>
      <c r="C46" s="481"/>
      <c r="D46" s="482"/>
      <c r="E46" s="781"/>
      <c r="F46" s="782"/>
      <c r="G46" s="782"/>
      <c r="H46" s="782"/>
      <c r="I46" s="483"/>
      <c r="M46" s="405" t="s">
        <v>622</v>
      </c>
      <c r="N46" s="478">
        <f>$H$35+$E$44+$F$44+$G$44+$H$44</f>
        <v>0</v>
      </c>
    </row>
    <row r="47" spans="1:9" ht="19.5" customHeight="1">
      <c r="A47" s="8" t="s">
        <v>615</v>
      </c>
      <c r="B47" s="9"/>
      <c r="C47" s="9"/>
      <c r="D47" s="10"/>
      <c r="E47" s="10"/>
      <c r="F47" s="323"/>
      <c r="G47" s="323"/>
      <c r="H47" s="323"/>
      <c r="I47" s="11"/>
    </row>
    <row r="48" spans="1:9" ht="24" customHeight="1">
      <c r="A48" s="827" t="s">
        <v>1154</v>
      </c>
      <c r="B48" s="828"/>
      <c r="C48" s="828"/>
      <c r="D48" s="828"/>
      <c r="E48" s="828"/>
      <c r="F48" s="828"/>
      <c r="G48" s="828"/>
      <c r="H48" s="828"/>
      <c r="I48" s="829"/>
    </row>
    <row r="49" spans="1:9" ht="24" customHeight="1">
      <c r="A49" s="827"/>
      <c r="B49" s="828"/>
      <c r="C49" s="828"/>
      <c r="D49" s="828"/>
      <c r="E49" s="828"/>
      <c r="F49" s="828"/>
      <c r="G49" s="828"/>
      <c r="H49" s="828"/>
      <c r="I49" s="829"/>
    </row>
    <row r="50" spans="1:9" ht="24" customHeight="1">
      <c r="A50" s="827"/>
      <c r="B50" s="828"/>
      <c r="C50" s="828"/>
      <c r="D50" s="828"/>
      <c r="E50" s="828"/>
      <c r="F50" s="828"/>
      <c r="G50" s="828"/>
      <c r="H50" s="828"/>
      <c r="I50" s="829"/>
    </row>
    <row r="51" spans="1:12" ht="24" customHeight="1">
      <c r="A51" s="830"/>
      <c r="B51" s="831"/>
      <c r="C51" s="831"/>
      <c r="D51" s="831"/>
      <c r="E51" s="831"/>
      <c r="F51" s="831"/>
      <c r="G51" s="831"/>
      <c r="H51" s="831"/>
      <c r="I51" s="832"/>
      <c r="J51" s="484"/>
      <c r="K51" s="484"/>
      <c r="L51" s="484"/>
    </row>
    <row r="52" spans="1:12" ht="24.75" customHeight="1">
      <c r="A52" s="485" t="str">
        <f>E76</f>
        <v> </v>
      </c>
      <c r="B52" s="486"/>
      <c r="C52" s="486"/>
      <c r="D52" s="487"/>
      <c r="E52" s="7" t="s">
        <v>592</v>
      </c>
      <c r="F52" s="7" t="s">
        <v>593</v>
      </c>
      <c r="G52" s="7" t="s">
        <v>594</v>
      </c>
      <c r="H52" s="7" t="s">
        <v>595</v>
      </c>
      <c r="I52" s="488"/>
      <c r="J52" s="489"/>
      <c r="K52" s="489"/>
      <c r="L52" s="489"/>
    </row>
    <row r="53" spans="1:12" ht="18" customHeight="1">
      <c r="A53" s="490" t="s">
        <v>1146</v>
      </c>
      <c r="B53" s="491"/>
      <c r="C53" s="492"/>
      <c r="D53" s="493"/>
      <c r="E53" s="291"/>
      <c r="F53" s="291"/>
      <c r="G53" s="291"/>
      <c r="H53" s="291"/>
      <c r="I53" s="494" t="str">
        <f>$E$77</f>
        <v> </v>
      </c>
      <c r="J53" s="489"/>
      <c r="K53" s="489"/>
      <c r="L53" s="489"/>
    </row>
    <row r="54" spans="1:12" ht="18" customHeight="1">
      <c r="A54" s="490" t="s">
        <v>1147</v>
      </c>
      <c r="B54" s="491"/>
      <c r="C54" s="492"/>
      <c r="D54" s="495"/>
      <c r="E54" s="496">
        <v>10</v>
      </c>
      <c r="F54" s="496">
        <v>10</v>
      </c>
      <c r="G54" s="496">
        <v>10</v>
      </c>
      <c r="H54" s="496">
        <v>10</v>
      </c>
      <c r="I54" s="497"/>
      <c r="J54" s="489"/>
      <c r="K54" s="489"/>
      <c r="L54" s="489"/>
    </row>
    <row r="55" spans="1:12" ht="19.5" customHeight="1">
      <c r="A55" s="498" t="s">
        <v>1148</v>
      </c>
      <c r="B55" s="499"/>
      <c r="C55" s="500"/>
      <c r="D55" s="501"/>
      <c r="E55" s="502">
        <f>$E$53/$E$54</f>
        <v>0</v>
      </c>
      <c r="F55" s="502">
        <f>$F$53/$F$54</f>
        <v>0</v>
      </c>
      <c r="G55" s="502">
        <f>$G$53/$G$54</f>
        <v>0</v>
      </c>
      <c r="H55" s="502">
        <f>$H$53/$H$54</f>
        <v>0</v>
      </c>
      <c r="I55" s="497"/>
      <c r="J55" s="489"/>
      <c r="K55" s="489"/>
      <c r="L55" s="489"/>
    </row>
    <row r="56" spans="1:12" ht="15" customHeight="1">
      <c r="A56" s="503" t="s">
        <v>1149</v>
      </c>
      <c r="B56" s="504"/>
      <c r="C56" s="505"/>
      <c r="D56" s="506"/>
      <c r="E56" s="507"/>
      <c r="F56" s="507"/>
      <c r="G56" s="508"/>
      <c r="H56" s="508"/>
      <c r="I56" s="509"/>
      <c r="J56" s="489"/>
      <c r="K56" s="489"/>
      <c r="L56" s="489"/>
    </row>
    <row r="57" spans="1:12" ht="19.5" customHeight="1">
      <c r="A57" s="510" t="s">
        <v>744</v>
      </c>
      <c r="B57" s="9"/>
      <c r="C57" s="9"/>
      <c r="D57" s="9"/>
      <c r="E57" s="511"/>
      <c r="F57" s="511"/>
      <c r="G57" s="15"/>
      <c r="H57" s="15"/>
      <c r="I57" s="15"/>
      <c r="J57" s="489"/>
      <c r="K57" s="489"/>
      <c r="L57" s="489"/>
    </row>
    <row r="58" spans="1:12" ht="15.75" customHeight="1">
      <c r="A58" s="759" t="str">
        <f>Cover!$B$56</f>
        <v>MO FFA 2022-2025 Application-October 2022</v>
      </c>
      <c r="B58" s="9"/>
      <c r="C58" s="9"/>
      <c r="D58" s="641"/>
      <c r="E58" s="641"/>
      <c r="F58" s="826">
        <f ca="1">NOW()</f>
        <v>45188.54951967593</v>
      </c>
      <c r="G58" s="826"/>
      <c r="H58" s="512"/>
      <c r="I58" s="760">
        <f>Cover!$M$56</f>
        <v>0</v>
      </c>
      <c r="J58" s="489"/>
      <c r="K58" s="489"/>
      <c r="L58" s="489"/>
    </row>
    <row r="59" spans="1:12" ht="12.75" customHeight="1">
      <c r="A59" s="513"/>
      <c r="B59" s="514"/>
      <c r="C59" s="514"/>
      <c r="D59" s="514"/>
      <c r="E59" s="515"/>
      <c r="F59" s="515"/>
      <c r="G59" s="516"/>
      <c r="H59" s="516"/>
      <c r="I59" s="516"/>
      <c r="J59" s="489"/>
      <c r="K59" s="489"/>
      <c r="L59" s="489"/>
    </row>
    <row r="60" spans="1:12" ht="12.75" customHeight="1" hidden="1">
      <c r="A60" s="513"/>
      <c r="B60" s="514"/>
      <c r="C60" s="514"/>
      <c r="D60" s="514"/>
      <c r="E60" s="515" t="s">
        <v>589</v>
      </c>
      <c r="F60" s="515"/>
      <c r="G60" s="516"/>
      <c r="H60" s="516"/>
      <c r="I60" s="516"/>
      <c r="J60" s="489"/>
      <c r="K60" s="489"/>
      <c r="L60" s="489"/>
    </row>
    <row r="61" spans="1:12" ht="12.75" customHeight="1" hidden="1">
      <c r="A61" s="517">
        <f>G15+G18+G24+G25+G35+G36+G40+G53+G55</f>
        <v>0</v>
      </c>
      <c r="B61" s="514"/>
      <c r="C61" s="517">
        <f>G15+G18+G24+G25+G35+G36+G40+G53+G55</f>
        <v>0</v>
      </c>
      <c r="D61" s="517">
        <f>H15+H18+H24+H25+H35+H36+H40+H53+H55</f>
        <v>0</v>
      </c>
      <c r="E61" s="518" t="s">
        <v>616</v>
      </c>
      <c r="F61" s="515"/>
      <c r="G61" s="516"/>
      <c r="H61" s="516"/>
      <c r="I61" s="516"/>
      <c r="J61" s="489"/>
      <c r="K61" s="489"/>
      <c r="L61" s="489"/>
    </row>
    <row r="62" spans="1:12" ht="12.75" customHeight="1" hidden="1">
      <c r="A62" s="513"/>
      <c r="B62" s="514"/>
      <c r="C62" s="517">
        <f>+C61+D61</f>
        <v>0</v>
      </c>
      <c r="D62" s="514"/>
      <c r="E62" s="518" t="str">
        <f>IF(C65=0,E60,E61)</f>
        <v> </v>
      </c>
      <c r="F62" s="515"/>
      <c r="G62" s="516"/>
      <c r="H62" s="516"/>
      <c r="I62" s="516"/>
      <c r="J62" s="489"/>
      <c r="K62" s="489"/>
      <c r="L62" s="489"/>
    </row>
    <row r="63" spans="1:12" ht="12.75" customHeight="1" hidden="1">
      <c r="A63" s="513"/>
      <c r="B63" s="514"/>
      <c r="C63" s="514">
        <f>IF(F10="x",IF(C62=0,0,1),0)</f>
        <v>0</v>
      </c>
      <c r="D63" s="514"/>
      <c r="E63" s="515"/>
      <c r="F63" s="515"/>
      <c r="G63" s="516"/>
      <c r="H63" s="516"/>
      <c r="I63" s="516"/>
      <c r="J63" s="489"/>
      <c r="K63" s="489"/>
      <c r="L63" s="489"/>
    </row>
    <row r="64" spans="1:12" ht="12.75" customHeight="1" hidden="1">
      <c r="A64" s="513"/>
      <c r="B64" s="514"/>
      <c r="C64" s="514">
        <f>IF(G10="x",IF(D61=0,0,1),0)</f>
        <v>0</v>
      </c>
      <c r="D64" s="514"/>
      <c r="E64" s="515"/>
      <c r="F64" s="515"/>
      <c r="G64" s="516"/>
      <c r="H64" s="516"/>
      <c r="I64" s="516"/>
      <c r="J64" s="489"/>
      <c r="K64" s="489"/>
      <c r="L64" s="489"/>
    </row>
    <row r="65" spans="1:12" ht="12.75" customHeight="1" hidden="1">
      <c r="A65" s="513"/>
      <c r="B65" s="514"/>
      <c r="C65" s="514">
        <f>SUM(C63:C64)</f>
        <v>0</v>
      </c>
      <c r="D65" s="514"/>
      <c r="E65" s="515"/>
      <c r="F65" s="515"/>
      <c r="G65" s="516"/>
      <c r="H65" s="516"/>
      <c r="I65" s="516"/>
      <c r="J65" s="489"/>
      <c r="K65" s="489"/>
      <c r="L65" s="489"/>
    </row>
    <row r="66" spans="1:12" ht="12.75" customHeight="1" hidden="1">
      <c r="A66" s="513"/>
      <c r="B66" s="514"/>
      <c r="C66" s="514"/>
      <c r="D66" s="514"/>
      <c r="E66" s="515"/>
      <c r="F66" s="515"/>
      <c r="G66" s="516"/>
      <c r="H66" s="516"/>
      <c r="I66" s="516"/>
      <c r="J66" s="489"/>
      <c r="K66" s="489"/>
      <c r="L66" s="489"/>
    </row>
    <row r="67" spans="1:12" ht="12.75" customHeight="1" hidden="1">
      <c r="A67" s="513"/>
      <c r="B67" s="514"/>
      <c r="C67" s="514"/>
      <c r="D67" s="514"/>
      <c r="E67" s="515"/>
      <c r="F67" s="515"/>
      <c r="G67" s="516"/>
      <c r="H67" s="516"/>
      <c r="I67" s="516"/>
      <c r="J67" s="489"/>
      <c r="K67" s="489"/>
      <c r="L67" s="489"/>
    </row>
    <row r="68" spans="1:12" ht="12.75" customHeight="1" hidden="1">
      <c r="A68" s="513"/>
      <c r="B68" s="514"/>
      <c r="C68" s="514"/>
      <c r="D68" s="514"/>
      <c r="E68" s="515"/>
      <c r="F68" s="515"/>
      <c r="G68" s="516"/>
      <c r="H68" s="516"/>
      <c r="I68" s="516"/>
      <c r="J68" s="489"/>
      <c r="K68" s="489"/>
      <c r="L68" s="489"/>
    </row>
    <row r="69" spans="1:12" ht="12.75" customHeight="1" hidden="1">
      <c r="A69" s="513"/>
      <c r="B69" s="514"/>
      <c r="C69" s="514"/>
      <c r="D69" s="514"/>
      <c r="E69" s="515"/>
      <c r="F69" s="515"/>
      <c r="G69" s="516"/>
      <c r="H69" s="516"/>
      <c r="I69" s="516"/>
      <c r="J69" s="489"/>
      <c r="K69" s="489"/>
      <c r="L69" s="489"/>
    </row>
    <row r="70" spans="1:12" ht="12.75" customHeight="1" hidden="1">
      <c r="A70" s="513"/>
      <c r="B70" s="514"/>
      <c r="C70" s="514"/>
      <c r="D70" s="514"/>
      <c r="E70" s="515"/>
      <c r="F70" s="515"/>
      <c r="G70" s="516"/>
      <c r="H70" s="516"/>
      <c r="I70" s="516"/>
      <c r="J70" s="489"/>
      <c r="K70" s="489"/>
      <c r="L70" s="489"/>
    </row>
    <row r="71" ht="12.75" hidden="1">
      <c r="E71" s="405">
        <f>IF($E$53&lt;=$E$14,0,1)</f>
        <v>0</v>
      </c>
    </row>
    <row r="72" ht="12.75" hidden="1">
      <c r="E72" s="405">
        <f>IF($F$53&lt;=$F$14,0,1)</f>
        <v>0</v>
      </c>
    </row>
    <row r="73" ht="12.75" hidden="1">
      <c r="E73" s="405">
        <f>IF($G$53&lt;=$G$14,0,1)</f>
        <v>0</v>
      </c>
    </row>
    <row r="74" ht="12.75" hidden="1">
      <c r="E74" s="405">
        <f>IF($H$53&lt;=$H$14,0,1)</f>
        <v>0</v>
      </c>
    </row>
    <row r="75" ht="12.75" hidden="1">
      <c r="E75" s="405">
        <f>SUM($E$71:$E$74)</f>
        <v>0</v>
      </c>
    </row>
    <row r="76" ht="12.75" hidden="1">
      <c r="E76" s="405" t="str">
        <f>IF(E75&gt;=1,"ERROR - See Note ** Below!"," ")</f>
        <v> </v>
      </c>
    </row>
    <row r="77" ht="12.75" hidden="1">
      <c r="E77" s="405" t="str">
        <f>IF(E75&gt;=1,"ERROR!"," ")</f>
        <v> </v>
      </c>
    </row>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sheetData>
  <sheetProtection password="9D8A" sheet="1" selectLockedCells="1"/>
  <mergeCells count="9">
    <mergeCell ref="F58:G58"/>
    <mergeCell ref="A48:I51"/>
    <mergeCell ref="G7:I7"/>
    <mergeCell ref="C7:D7"/>
    <mergeCell ref="G8:I8"/>
    <mergeCell ref="E41:I41"/>
    <mergeCell ref="A33:I33"/>
    <mergeCell ref="A22:I22"/>
    <mergeCell ref="A9:I9"/>
  </mergeCells>
  <dataValidations count="2">
    <dataValidation type="whole" allowBlank="1" showInputMessage="1" showErrorMessage="1" error="Whole Numbers ONLY!" sqref="E29:H30 E13:I14 I16:I17 E53:H53 E36 E35:H35 E24:H25 E39:H39">
      <formula1>0</formula1>
      <formula2>999999</formula2>
    </dataValidation>
    <dataValidation type="whole" allowBlank="1" showInputMessage="1" showErrorMessage="1" error="Whole Numbers ONLY!" sqref="E16:H17">
      <formula1>-999999</formula1>
      <formula2>999999</formula2>
    </dataValidation>
  </dataValidations>
  <printOptions horizontalCentered="1" verticalCentered="1"/>
  <pageMargins left="0.25" right="0.25" top="0.45" bottom="0.25" header="0" footer="0"/>
  <pageSetup fitToHeight="1" fitToWidth="1" horizontalDpi="600" verticalDpi="600" orientation="portrait" scale="72" r:id="rId2"/>
  <rowBreaks count="1" manualBreakCount="1">
    <brk id="39" max="65535" man="1"/>
  </rowBreaks>
  <drawing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BL81"/>
  <sheetViews>
    <sheetView showGridLines="0" showZeros="0" zoomScalePageLayoutView="0" workbookViewId="0" topLeftCell="A1">
      <selection activeCell="B38" sqref="B38"/>
    </sheetView>
  </sheetViews>
  <sheetFormatPr defaultColWidth="9.140625" defaultRowHeight="12.75"/>
  <cols>
    <col min="1" max="1" width="0.85546875" style="1" customWidth="1"/>
    <col min="2" max="2" width="10.28125" style="1" customWidth="1"/>
    <col min="3" max="3" width="9.8515625" style="1" customWidth="1"/>
    <col min="4" max="4" width="7.8515625" style="1" customWidth="1"/>
    <col min="5" max="5" width="1.7109375" style="1" customWidth="1"/>
    <col min="6" max="6" width="0.85546875" style="1" customWidth="1"/>
    <col min="7" max="7" width="7.7109375" style="1" customWidth="1"/>
    <col min="8" max="8" width="7.28125" style="1" customWidth="1"/>
    <col min="9" max="11" width="7.421875" style="1" customWidth="1"/>
    <col min="12" max="15" width="4.7109375" style="1" customWidth="1"/>
    <col min="16" max="16" width="6.8515625" style="1" customWidth="1"/>
    <col min="17" max="17" width="9.57421875" style="1" customWidth="1"/>
    <col min="18" max="18" width="9.140625" style="1" customWidth="1"/>
    <col min="19" max="19" width="12.140625" style="1" hidden="1" customWidth="1"/>
    <col min="20" max="24" width="9.140625" style="1" hidden="1" customWidth="1"/>
    <col min="25" max="25" width="12.8515625" style="1" hidden="1" customWidth="1"/>
    <col min="26" max="28" width="9.140625" style="1" hidden="1" customWidth="1"/>
    <col min="29" max="29" width="7.57421875" style="1" hidden="1" customWidth="1"/>
    <col min="30" max="30" width="11.7109375" style="44" hidden="1" customWidth="1"/>
    <col min="31" max="31" width="9.140625" style="45" hidden="1" customWidth="1"/>
    <col min="32" max="32" width="9.140625" style="1" hidden="1" customWidth="1"/>
    <col min="33" max="33" width="11.140625" style="44" hidden="1" customWidth="1"/>
    <col min="34" max="41" width="9.140625" style="1" hidden="1" customWidth="1"/>
    <col min="42" max="42" width="17.140625" style="1" hidden="1" customWidth="1"/>
    <col min="43" max="43" width="50.00390625" style="1" hidden="1" customWidth="1"/>
    <col min="44" max="44" width="27.8515625" style="1" hidden="1" customWidth="1"/>
    <col min="45" max="80" width="9.140625" style="1" hidden="1" customWidth="1"/>
    <col min="81" max="82" width="0" style="1" hidden="1" customWidth="1"/>
    <col min="83" max="16384" width="9.140625" style="1" customWidth="1"/>
  </cols>
  <sheetData>
    <row r="1" ht="39.75" customHeight="1">
      <c r="B1" s="38"/>
    </row>
    <row r="2" ht="39.75" customHeight="1">
      <c r="P2" s="519"/>
    </row>
    <row r="3" ht="39.75" customHeight="1"/>
    <row r="4" ht="39.75" customHeight="1">
      <c r="AT4" s="237" t="s">
        <v>589</v>
      </c>
    </row>
    <row r="5" ht="39.75" customHeight="1"/>
    <row r="6" spans="21:33" ht="39.75" customHeight="1">
      <c r="U6" s="206"/>
      <c r="V6" s="207"/>
      <c r="W6" s="207"/>
      <c r="X6" s="207"/>
      <c r="Y6" s="207"/>
      <c r="Z6" s="207"/>
      <c r="AA6" s="207"/>
      <c r="AB6" s="208"/>
      <c r="AD6" s="1"/>
      <c r="AE6" s="1"/>
      <c r="AG6" s="1"/>
    </row>
    <row r="7" spans="1:33" ht="25.5" customHeight="1">
      <c r="A7" s="535" t="s">
        <v>617</v>
      </c>
      <c r="B7" s="535"/>
      <c r="C7" s="536"/>
      <c r="D7" s="537"/>
      <c r="E7" s="537"/>
      <c r="F7" s="537"/>
      <c r="G7" s="537"/>
      <c r="H7" s="538"/>
      <c r="K7" s="137"/>
      <c r="O7" s="539" t="s">
        <v>618</v>
      </c>
      <c r="P7" s="540"/>
      <c r="Q7" s="541"/>
      <c r="U7" s="209" t="s">
        <v>589</v>
      </c>
      <c r="V7" s="26"/>
      <c r="W7" s="210" t="s">
        <v>619</v>
      </c>
      <c r="X7" s="210" t="s">
        <v>620</v>
      </c>
      <c r="Y7" s="210" t="s">
        <v>621</v>
      </c>
      <c r="Z7" s="210" t="s">
        <v>622</v>
      </c>
      <c r="AA7" s="210" t="s">
        <v>819</v>
      </c>
      <c r="AB7" s="211"/>
      <c r="AD7" s="1"/>
      <c r="AE7" s="1"/>
      <c r="AG7" s="1"/>
    </row>
    <row r="8" spans="1:41" ht="18" customHeight="1" thickBot="1">
      <c r="A8" s="542" t="s">
        <v>623</v>
      </c>
      <c r="B8" s="542"/>
      <c r="C8" s="543"/>
      <c r="D8" s="544"/>
      <c r="E8" s="544"/>
      <c r="F8" s="544"/>
      <c r="G8" s="544"/>
      <c r="H8" s="545"/>
      <c r="I8" s="866">
        <f>Cover!$J$14</f>
        <v>0</v>
      </c>
      <c r="J8" s="866"/>
      <c r="K8" s="866"/>
      <c r="L8" s="546"/>
      <c r="M8" s="546"/>
      <c r="N8" s="292"/>
      <c r="O8" s="542"/>
      <c r="P8" s="542"/>
      <c r="Q8" s="547" t="str">
        <f>IF(J16&lt;150,"ERROR -150 Leadership Points Required!"," ")</f>
        <v>ERROR -150 Leadership Points Required!</v>
      </c>
      <c r="U8" s="209" t="s">
        <v>624</v>
      </c>
      <c r="V8" s="26"/>
      <c r="W8" s="210">
        <f>Worksheet!$E$10</f>
        <v>0</v>
      </c>
      <c r="X8" s="210">
        <f>Worksheet!$F$10</f>
        <v>0</v>
      </c>
      <c r="Y8" s="210">
        <f>Worksheet!$G$10</f>
        <v>0</v>
      </c>
      <c r="Z8" s="210">
        <f>Worksheet!$H$10</f>
        <v>0</v>
      </c>
      <c r="AA8" s="26">
        <f>IF(W8="X",1,0)</f>
        <v>0</v>
      </c>
      <c r="AB8" s="211"/>
      <c r="AD8" s="1"/>
      <c r="AE8" s="1"/>
      <c r="AG8" s="1"/>
      <c r="AI8" s="548" t="s">
        <v>824</v>
      </c>
      <c r="AJ8" s="548" t="s">
        <v>825</v>
      </c>
      <c r="AK8" s="548" t="s">
        <v>826</v>
      </c>
      <c r="AL8" s="548" t="s">
        <v>827</v>
      </c>
      <c r="AM8" s="549" t="s">
        <v>1145</v>
      </c>
      <c r="AN8" s="549" t="s">
        <v>1259</v>
      </c>
      <c r="AO8" s="787" t="s">
        <v>1486</v>
      </c>
    </row>
    <row r="9" spans="1:45" s="292" customFormat="1" ht="18.75" customHeight="1" thickBot="1">
      <c r="A9" s="550" t="s">
        <v>924</v>
      </c>
      <c r="B9" s="551"/>
      <c r="C9" s="551"/>
      <c r="D9" s="551"/>
      <c r="E9" s="551"/>
      <c r="F9" s="551"/>
      <c r="G9" s="551"/>
      <c r="H9" s="552"/>
      <c r="I9" s="864" t="s">
        <v>817</v>
      </c>
      <c r="J9" s="865"/>
      <c r="K9" s="865"/>
      <c r="L9" s="867" t="s">
        <v>626</v>
      </c>
      <c r="M9" s="868"/>
      <c r="N9" s="868"/>
      <c r="O9" s="868"/>
      <c r="P9" s="868"/>
      <c r="Q9" s="869"/>
      <c r="U9" s="293"/>
      <c r="V9" s="294"/>
      <c r="W9" s="295">
        <f>$N$22+$N$24+$N$25+$N$29+$N$30+$N$31+$N$35+$N$36+$N$37</f>
        <v>0</v>
      </c>
      <c r="X9" s="295">
        <f>$N$24+$N$25+$N$30+$N$31+$N$36+$N$37</f>
        <v>0</v>
      </c>
      <c r="Y9" s="295">
        <f>$N$25+$N$31+$N$37</f>
        <v>0</v>
      </c>
      <c r="Z9" s="294"/>
      <c r="AA9" s="294">
        <f>IF(X8="X",1,0)</f>
        <v>0</v>
      </c>
      <c r="AB9" s="296"/>
      <c r="AH9" s="522" t="s">
        <v>1258</v>
      </c>
      <c r="AI9" s="553">
        <f>$Q$20</f>
        <v>0</v>
      </c>
      <c r="AJ9" s="553">
        <f>'SAE 2'!$C$12</f>
        <v>0</v>
      </c>
      <c r="AK9" s="553">
        <f>'SAE 2'!$K$12</f>
        <v>0</v>
      </c>
      <c r="AL9" s="554">
        <f>'SAE 2'!$K$19</f>
        <v>0</v>
      </c>
      <c r="AM9" s="554">
        <f>'SAE 2'!$C$19</f>
        <v>0</v>
      </c>
      <c r="AN9" s="554">
        <f>'SAE 2'!C29</f>
        <v>0</v>
      </c>
      <c r="AO9" s="554">
        <f>'SAE 2'!C37</f>
        <v>0</v>
      </c>
      <c r="AP9" s="292" t="str">
        <f>Worksheet!$M$10</f>
        <v>ERROR</v>
      </c>
      <c r="AR9" s="555"/>
      <c r="AS9" s="555" t="str">
        <f>Worksheet!$M$13</f>
        <v>ERR</v>
      </c>
    </row>
    <row r="10" spans="1:43" ht="15" customHeight="1">
      <c r="A10" s="556" t="s">
        <v>633</v>
      </c>
      <c r="B10" s="557"/>
      <c r="C10" s="558"/>
      <c r="D10" s="193"/>
      <c r="E10" s="193"/>
      <c r="F10" s="193"/>
      <c r="G10" s="193"/>
      <c r="I10" s="849" t="s">
        <v>805</v>
      </c>
      <c r="J10" s="559" t="s">
        <v>628</v>
      </c>
      <c r="K10" s="851" t="s">
        <v>794</v>
      </c>
      <c r="L10" s="875" t="s">
        <v>629</v>
      </c>
      <c r="M10" s="876"/>
      <c r="N10" s="876"/>
      <c r="O10" s="877"/>
      <c r="P10" s="560" t="s">
        <v>630</v>
      </c>
      <c r="Q10" s="561" t="s">
        <v>631</v>
      </c>
      <c r="U10" s="209" t="s">
        <v>818</v>
      </c>
      <c r="V10" s="26"/>
      <c r="W10" s="26">
        <f>Q20</f>
        <v>0</v>
      </c>
      <c r="X10" s="26">
        <f>Q29</f>
        <v>0</v>
      </c>
      <c r="Y10" s="26">
        <f>Q38</f>
        <v>0</v>
      </c>
      <c r="Z10" s="26">
        <f>Q47</f>
        <v>0</v>
      </c>
      <c r="AA10" s="26">
        <f>IF(Y8="X",1,0)</f>
        <v>0</v>
      </c>
      <c r="AB10" s="211"/>
      <c r="AD10" s="1"/>
      <c r="AE10" s="1"/>
      <c r="AG10" s="1"/>
      <c r="AH10" s="237" t="s">
        <v>620</v>
      </c>
      <c r="AI10" s="562">
        <f>$Q$29</f>
        <v>0</v>
      </c>
      <c r="AJ10" s="562">
        <f>'SAE 2'!$C$13</f>
        <v>0</v>
      </c>
      <c r="AK10" s="562">
        <f>'SAE 2'!$K$13</f>
        <v>0</v>
      </c>
      <c r="AL10" s="562">
        <f>'SAE 2'!$K$20</f>
        <v>0</v>
      </c>
      <c r="AM10" s="554">
        <f>'SAE 2'!$C$20</f>
        <v>0</v>
      </c>
      <c r="AN10" s="554">
        <f>'SAE 2'!C30</f>
        <v>0</v>
      </c>
      <c r="AO10" s="554">
        <f>'SAE 2'!C38</f>
        <v>0</v>
      </c>
      <c r="AP10" s="563">
        <f>(AI10+AJ10+AK10+AM10+AN10)-A17</f>
        <v>0</v>
      </c>
      <c r="AQ10" s="47">
        <f>IF(AP10&gt;0,AP10,0)</f>
        <v>0</v>
      </c>
    </row>
    <row r="11" spans="1:43" ht="15" customHeight="1" thickBot="1">
      <c r="A11" s="239"/>
      <c r="B11" s="196"/>
      <c r="C11" s="236"/>
      <c r="D11" s="199"/>
      <c r="E11" s="621"/>
      <c r="F11" s="621"/>
      <c r="G11" s="621"/>
      <c r="I11" s="850"/>
      <c r="J11" s="564" t="s">
        <v>634</v>
      </c>
      <c r="K11" s="852"/>
      <c r="L11" s="878"/>
      <c r="M11" s="879"/>
      <c r="N11" s="879"/>
      <c r="O11" s="880"/>
      <c r="P11" s="565" t="s">
        <v>634</v>
      </c>
      <c r="Q11" s="566" t="s">
        <v>634</v>
      </c>
      <c r="U11" s="209"/>
      <c r="V11" s="26"/>
      <c r="W11" s="26"/>
      <c r="X11" s="26">
        <f>W10+X10</f>
        <v>0</v>
      </c>
      <c r="Y11" s="26">
        <f>W10+X10+Y10</f>
        <v>0</v>
      </c>
      <c r="Z11" s="26">
        <f>W10+X10+Y10+Z10</f>
        <v>0</v>
      </c>
      <c r="AA11" s="26">
        <f>IF(Z8="X",1,0)</f>
        <v>0</v>
      </c>
      <c r="AB11" s="211"/>
      <c r="AD11" s="1"/>
      <c r="AE11" s="1"/>
      <c r="AG11" s="1"/>
      <c r="AH11" s="237" t="s">
        <v>621</v>
      </c>
      <c r="AI11" s="562">
        <f>$Q$38</f>
        <v>0</v>
      </c>
      <c r="AJ11" s="47">
        <f>'SAE 2'!$C$14</f>
        <v>0</v>
      </c>
      <c r="AK11" s="562">
        <f>'SAE 2'!$K$14</f>
        <v>0</v>
      </c>
      <c r="AL11" s="47">
        <f>'SAE 2'!$K$21</f>
        <v>0</v>
      </c>
      <c r="AM11" s="554">
        <f>'SAE 2'!$C$21</f>
        <v>0</v>
      </c>
      <c r="AN11" s="554">
        <f>'SAE 2'!C31</f>
        <v>0</v>
      </c>
      <c r="AO11" s="554">
        <f>'SAE 2'!C39</f>
        <v>0</v>
      </c>
      <c r="AP11" s="563">
        <f>(AI11+AJ11+AK11+AM11+AN11)-A17</f>
        <v>0</v>
      </c>
      <c r="AQ11" s="47">
        <f>IF(AP11&gt;0,AP11,0)</f>
        <v>0</v>
      </c>
    </row>
    <row r="12" spans="1:43" ht="19.5" customHeight="1" thickBot="1">
      <c r="A12" s="240"/>
      <c r="B12" s="197"/>
      <c r="C12" s="620"/>
      <c r="D12" s="194"/>
      <c r="E12" s="622"/>
      <c r="F12" s="622"/>
      <c r="G12" s="622"/>
      <c r="I12" s="174"/>
      <c r="J12" s="175">
        <f>AH14</f>
        <v>0</v>
      </c>
      <c r="K12" s="202">
        <f>AH13</f>
        <v>0</v>
      </c>
      <c r="L12" s="853" t="s">
        <v>811</v>
      </c>
      <c r="M12" s="854"/>
      <c r="N12" s="854"/>
      <c r="O12" s="855"/>
      <c r="P12" s="567">
        <v>200</v>
      </c>
      <c r="Q12" s="568"/>
      <c r="U12" s="209" t="s">
        <v>820</v>
      </c>
      <c r="V12" s="26"/>
      <c r="W12" s="26"/>
      <c r="X12" s="26"/>
      <c r="Y12" s="26"/>
      <c r="Z12" s="569" t="str">
        <f>IF(AA12&lt;&gt;1,"ERR",IF($X$8="X",X11,IF($Y$8="X",$Y$11,IF($Z$8="X",$Z$11,"ERR"))))</f>
        <v>ERR</v>
      </c>
      <c r="AA12" s="26">
        <f>SUM(AA8:AA11)</f>
        <v>0</v>
      </c>
      <c r="AB12" s="211"/>
      <c r="AD12" s="1"/>
      <c r="AE12" s="1"/>
      <c r="AG12" s="1"/>
      <c r="AH12" s="237" t="s">
        <v>622</v>
      </c>
      <c r="AI12" s="562">
        <f>$Q$47</f>
        <v>0</v>
      </c>
      <c r="AJ12" s="47">
        <f>'SAE 2'!$C$15</f>
        <v>0</v>
      </c>
      <c r="AK12" s="562">
        <f>'SAE 2'!$K$15</f>
        <v>0</v>
      </c>
      <c r="AL12" s="47">
        <f>'SAE 2'!$K$22</f>
        <v>0</v>
      </c>
      <c r="AM12" s="554">
        <f>'SAE 2'!$C$22</f>
        <v>0</v>
      </c>
      <c r="AN12" s="554">
        <f>'SAE 2'!C32</f>
        <v>0</v>
      </c>
      <c r="AO12" s="554">
        <f>'SAE 2'!C40</f>
        <v>0</v>
      </c>
      <c r="AP12" s="563">
        <f>(AI12+AJ12+AK12+AM12+AN12)-A17</f>
        <v>0</v>
      </c>
      <c r="AQ12" s="47">
        <f>IF(AP12&gt;0,AP12,0)</f>
        <v>0</v>
      </c>
    </row>
    <row r="13" spans="1:44" ht="19.5" customHeight="1">
      <c r="A13" s="240"/>
      <c r="B13" s="197"/>
      <c r="C13" s="620"/>
      <c r="D13" s="194"/>
      <c r="E13" s="622"/>
      <c r="F13" s="237"/>
      <c r="G13" s="237"/>
      <c r="I13" s="176"/>
      <c r="J13" s="795" t="str">
        <f>IF($AR$13="ERR","ERR",IF($AR$13="See Worksheet","See Worksheet",IF($AQ$13&lt;=100,$AQ$13,100)))</f>
        <v>See Worksheet</v>
      </c>
      <c r="K13" s="796" t="str">
        <f>$AR$13</f>
        <v>See Worksheet</v>
      </c>
      <c r="L13" s="853" t="s">
        <v>812</v>
      </c>
      <c r="M13" s="854"/>
      <c r="N13" s="854"/>
      <c r="O13" s="855"/>
      <c r="P13" s="567">
        <v>100</v>
      </c>
      <c r="Q13" s="568"/>
      <c r="U13" s="209"/>
      <c r="V13" s="26"/>
      <c r="W13" s="26"/>
      <c r="X13" s="26"/>
      <c r="Y13" s="26"/>
      <c r="Z13" s="26"/>
      <c r="AA13" s="26"/>
      <c r="AB13" s="211"/>
      <c r="AD13" s="1"/>
      <c r="AE13" s="1"/>
      <c r="AG13" s="1"/>
      <c r="AH13" s="47">
        <f>SUM(AI13:AO13)</f>
        <v>0</v>
      </c>
      <c r="AI13" s="47">
        <f aca="true" t="shared" si="0" ref="AI13:AO13">SUM(AI9:AI12)</f>
        <v>0</v>
      </c>
      <c r="AJ13" s="47">
        <f t="shared" si="0"/>
        <v>0</v>
      </c>
      <c r="AK13" s="47">
        <f t="shared" si="0"/>
        <v>0</v>
      </c>
      <c r="AL13" s="47">
        <f t="shared" si="0"/>
        <v>0</v>
      </c>
      <c r="AM13" s="47">
        <f t="shared" si="0"/>
        <v>0</v>
      </c>
      <c r="AN13" s="47">
        <f t="shared" si="0"/>
        <v>0</v>
      </c>
      <c r="AO13" s="47">
        <f t="shared" si="0"/>
        <v>0</v>
      </c>
      <c r="AQ13" s="524" t="str">
        <f>IF($AP$9=2,$AQ$10,IF($AP$9=3,$AQ$11,IF($AP$9=4,$AQ$12,"ERR")))</f>
        <v>ERR</v>
      </c>
      <c r="AR13" s="525" t="str">
        <f>IF(AS9=0,AQ17,"See Worksheet")</f>
        <v>See Worksheet</v>
      </c>
    </row>
    <row r="14" spans="1:34" ht="19.5" customHeight="1">
      <c r="A14" s="240"/>
      <c r="B14" s="197"/>
      <c r="C14" s="620"/>
      <c r="D14" s="194"/>
      <c r="E14" s="622"/>
      <c r="F14" s="622"/>
      <c r="G14" s="622"/>
      <c r="I14" s="570"/>
      <c r="J14" s="229">
        <f>$Y$17</f>
        <v>0</v>
      </c>
      <c r="K14" s="203">
        <f>$X$17</f>
        <v>0</v>
      </c>
      <c r="L14" s="853" t="s">
        <v>813</v>
      </c>
      <c r="M14" s="854"/>
      <c r="N14" s="854"/>
      <c r="O14" s="855"/>
      <c r="P14" s="571">
        <v>100</v>
      </c>
      <c r="Q14" s="230">
        <f>$Y$17</f>
        <v>0</v>
      </c>
      <c r="U14" s="351"/>
      <c r="V14" s="179"/>
      <c r="W14" s="179"/>
      <c r="X14" s="179"/>
      <c r="Y14" s="179"/>
      <c r="Z14" s="179"/>
      <c r="AA14" s="179"/>
      <c r="AB14" s="355"/>
      <c r="AD14" s="1"/>
      <c r="AE14" s="1"/>
      <c r="AG14" s="1"/>
      <c r="AH14" s="46">
        <f>IF(AH13&lt;200,AH13,200)</f>
        <v>0</v>
      </c>
    </row>
    <row r="15" spans="1:43" ht="19.5" customHeight="1">
      <c r="A15" s="195"/>
      <c r="B15" s="198"/>
      <c r="C15" s="620"/>
      <c r="D15" s="182"/>
      <c r="E15" s="620"/>
      <c r="F15" s="620"/>
      <c r="G15" s="622"/>
      <c r="I15" s="570"/>
      <c r="J15" s="177">
        <f>'SAE 2'!$K$49</f>
        <v>0</v>
      </c>
      <c r="K15" s="177">
        <f>'SAE 2'!$K$49</f>
        <v>0</v>
      </c>
      <c r="L15" s="884" t="s">
        <v>814</v>
      </c>
      <c r="M15" s="885"/>
      <c r="N15" s="885"/>
      <c r="O15" s="886"/>
      <c r="P15" s="567">
        <v>200</v>
      </c>
      <c r="Q15" s="231">
        <f>'SAE 2'!$K$49</f>
        <v>0</v>
      </c>
      <c r="AD15" s="1"/>
      <c r="AE15" s="1"/>
      <c r="AG15" s="1"/>
      <c r="AQ15" s="47">
        <f>AQ11+AQ12</f>
        <v>0</v>
      </c>
    </row>
    <row r="16" spans="1:33" ht="21.75" customHeight="1" thickBot="1">
      <c r="A16" s="241"/>
      <c r="B16" s="258" t="s">
        <v>625</v>
      </c>
      <c r="C16" s="259" t="s">
        <v>796</v>
      </c>
      <c r="D16" s="861" t="s">
        <v>795</v>
      </c>
      <c r="E16" s="862"/>
      <c r="F16" s="863"/>
      <c r="G16" s="238"/>
      <c r="I16" s="572"/>
      <c r="J16" s="178">
        <f>'FFA Leadership 1'!$F$8</f>
        <v>0</v>
      </c>
      <c r="K16" s="204">
        <f>'FFA Leadership 1'!$E$8</f>
        <v>0</v>
      </c>
      <c r="L16" s="881" t="s">
        <v>815</v>
      </c>
      <c r="M16" s="882"/>
      <c r="N16" s="882"/>
      <c r="O16" s="883"/>
      <c r="P16" s="573">
        <v>400</v>
      </c>
      <c r="Q16" s="574"/>
      <c r="AD16" s="1"/>
      <c r="AE16" s="1"/>
      <c r="AG16" s="1"/>
    </row>
    <row r="17" spans="1:43" ht="20.25" customHeight="1" thickBot="1" thickTop="1">
      <c r="A17" s="857"/>
      <c r="B17" s="858"/>
      <c r="C17" s="575"/>
      <c r="D17" s="872"/>
      <c r="E17" s="873"/>
      <c r="F17" s="874"/>
      <c r="G17" s="576"/>
      <c r="H17" s="179"/>
      <c r="I17" s="205"/>
      <c r="J17" s="232" t="e">
        <f>$J$12+$J$13+$J$14+$J$15+$J$16</f>
        <v>#VALUE!</v>
      </c>
      <c r="K17" s="232" t="e">
        <f>$K$12+$K$13+$K$14+$K$15+$K$16</f>
        <v>#VALUE!</v>
      </c>
      <c r="L17" s="870" t="s">
        <v>639</v>
      </c>
      <c r="M17" s="870"/>
      <c r="N17" s="870"/>
      <c r="O17" s="871"/>
      <c r="P17" s="577">
        <v>1000</v>
      </c>
      <c r="Q17" s="578"/>
      <c r="U17" s="1" t="s">
        <v>828</v>
      </c>
      <c r="X17" s="47">
        <f>'SAE 2'!$C$49</f>
        <v>0</v>
      </c>
      <c r="Y17" s="47">
        <f>IF(X17&lt;100,X17,100)</f>
        <v>0</v>
      </c>
      <c r="AD17" s="1"/>
      <c r="AE17" s="1"/>
      <c r="AG17" s="1"/>
      <c r="AQ17" s="579" t="str">
        <f>IF($AP$9=2,IF($AQ$15=0,$AQ$10,"ERR"),IF($AP$9=3,IF(AQ12=0,$AQ$11,"ERR"),IF($AP$9=4,$AQ$12,"ERR")))</f>
        <v>ERR</v>
      </c>
    </row>
    <row r="18" spans="1:33" ht="19.5" customHeight="1" thickBot="1">
      <c r="A18" s="580" t="s">
        <v>638</v>
      </c>
      <c r="B18" s="581"/>
      <c r="C18" s="581"/>
      <c r="D18" s="581"/>
      <c r="E18" s="581"/>
      <c r="F18" s="581"/>
      <c r="G18" s="582"/>
      <c r="H18" s="520"/>
      <c r="I18" s="583"/>
      <c r="J18" s="584"/>
      <c r="K18" s="584"/>
      <c r="L18" s="584"/>
      <c r="M18" s="584"/>
      <c r="N18" s="584"/>
      <c r="O18" s="584"/>
      <c r="P18" s="585" t="s">
        <v>816</v>
      </c>
      <c r="Q18" s="586"/>
      <c r="AD18" s="1"/>
      <c r="AE18" s="1"/>
      <c r="AG18" s="1"/>
    </row>
    <row r="19" spans="1:33" ht="13.5" customHeight="1">
      <c r="A19" s="260" t="s">
        <v>806</v>
      </c>
      <c r="B19" s="261"/>
      <c r="C19" s="262"/>
      <c r="D19" s="587"/>
      <c r="E19" s="588"/>
      <c r="F19" s="192" t="s">
        <v>807</v>
      </c>
      <c r="G19" s="190"/>
      <c r="H19" s="190"/>
      <c r="I19" s="200"/>
      <c r="J19" s="200"/>
      <c r="K19" s="200"/>
      <c r="L19" s="200"/>
      <c r="M19" s="200"/>
      <c r="N19" s="200"/>
      <c r="O19" s="200"/>
      <c r="P19" s="201"/>
      <c r="Q19" s="244" t="s">
        <v>625</v>
      </c>
      <c r="AD19" s="1"/>
      <c r="AE19" s="1"/>
      <c r="AG19" s="1"/>
    </row>
    <row r="20" spans="1:33" ht="13.5" customHeight="1">
      <c r="A20" s="181"/>
      <c r="B20" s="185"/>
      <c r="C20" s="623"/>
      <c r="D20" s="26"/>
      <c r="E20" s="249"/>
      <c r="F20" s="181"/>
      <c r="G20" s="185"/>
      <c r="H20" s="623"/>
      <c r="I20" s="623"/>
      <c r="J20" s="623"/>
      <c r="K20" s="180"/>
      <c r="M20" s="246"/>
      <c r="N20" s="246"/>
      <c r="O20" s="246"/>
      <c r="P20" s="626"/>
      <c r="Q20" s="859"/>
      <c r="AD20" s="1"/>
      <c r="AE20" s="1"/>
      <c r="AG20" s="1"/>
    </row>
    <row r="21" spans="1:33" ht="13.5" customHeight="1">
      <c r="A21" s="181"/>
      <c r="B21" s="182"/>
      <c r="C21" s="623"/>
      <c r="D21" s="26"/>
      <c r="E21" s="249"/>
      <c r="F21" s="181"/>
      <c r="G21" s="182"/>
      <c r="H21" s="623"/>
      <c r="I21" s="623"/>
      <c r="J21" s="623"/>
      <c r="K21" s="180"/>
      <c r="L21" s="626"/>
      <c r="M21" s="246"/>
      <c r="N21" s="246"/>
      <c r="O21" s="246"/>
      <c r="P21" s="246"/>
      <c r="Q21" s="860"/>
      <c r="AD21" s="1"/>
      <c r="AE21" s="1"/>
      <c r="AG21" s="1"/>
    </row>
    <row r="22" spans="1:33" ht="13.5" customHeight="1">
      <c r="A22" s="181"/>
      <c r="B22" s="182"/>
      <c r="C22" s="623"/>
      <c r="D22" s="26"/>
      <c r="E22" s="246"/>
      <c r="F22" s="181"/>
      <c r="G22" s="182"/>
      <c r="H22" s="623"/>
      <c r="I22" s="623"/>
      <c r="J22" s="623"/>
      <c r="K22" s="180"/>
      <c r="L22" s="627"/>
      <c r="M22" s="246"/>
      <c r="N22" s="246"/>
      <c r="O22" s="246"/>
      <c r="P22" s="246"/>
      <c r="Q22" s="243" t="s">
        <v>796</v>
      </c>
      <c r="AD22" s="1"/>
      <c r="AE22" s="1"/>
      <c r="AG22" s="1"/>
    </row>
    <row r="23" spans="1:33" ht="13.5" customHeight="1">
      <c r="A23" s="181"/>
      <c r="B23" s="182"/>
      <c r="C23" s="623"/>
      <c r="D23" s="26"/>
      <c r="E23" s="246"/>
      <c r="F23" s="181"/>
      <c r="G23" s="182"/>
      <c r="H23" s="623"/>
      <c r="I23" s="623"/>
      <c r="J23" s="623"/>
      <c r="K23" s="180"/>
      <c r="L23" s="627"/>
      <c r="M23" s="246"/>
      <c r="N23" s="246"/>
      <c r="O23" s="246"/>
      <c r="P23" s="246"/>
      <c r="Q23" s="845"/>
      <c r="AD23" s="1"/>
      <c r="AE23" s="1"/>
      <c r="AG23" s="1"/>
    </row>
    <row r="24" spans="1:33" ht="13.5" customHeight="1">
      <c r="A24" s="181"/>
      <c r="B24" s="182"/>
      <c r="C24" s="623"/>
      <c r="D24" s="26"/>
      <c r="E24" s="246"/>
      <c r="F24" s="181"/>
      <c r="G24" s="182"/>
      <c r="H24" s="623"/>
      <c r="I24" s="623"/>
      <c r="J24" s="623"/>
      <c r="K24" s="180"/>
      <c r="L24" s="627"/>
      <c r="M24" s="246"/>
      <c r="N24" s="246"/>
      <c r="O24" s="246"/>
      <c r="P24" s="246"/>
      <c r="Q24" s="846"/>
      <c r="AD24" s="1"/>
      <c r="AE24" s="1"/>
      <c r="AG24" s="1"/>
    </row>
    <row r="25" spans="1:33" ht="13.5" customHeight="1">
      <c r="A25" s="250"/>
      <c r="B25" s="252"/>
      <c r="C25" s="624"/>
      <c r="D25" s="26"/>
      <c r="E25" s="246"/>
      <c r="F25" s="181"/>
      <c r="G25" s="182"/>
      <c r="H25" s="623"/>
      <c r="I25" s="623"/>
      <c r="J25" s="623"/>
      <c r="K25" s="180"/>
      <c r="L25" s="627"/>
      <c r="M25" s="246"/>
      <c r="N25" s="246"/>
      <c r="O25" s="246"/>
      <c r="P25" s="246"/>
      <c r="Q25" s="245" t="s">
        <v>795</v>
      </c>
      <c r="AD25" s="1"/>
      <c r="AE25" s="1"/>
      <c r="AG25" s="1"/>
    </row>
    <row r="26" spans="1:33" ht="13.5" customHeight="1">
      <c r="A26" s="250"/>
      <c r="B26" s="252"/>
      <c r="C26" s="624"/>
      <c r="D26" s="26"/>
      <c r="E26" s="246"/>
      <c r="F26" s="181"/>
      <c r="G26" s="182"/>
      <c r="H26" s="623"/>
      <c r="I26" s="623"/>
      <c r="J26" s="623"/>
      <c r="K26" s="180"/>
      <c r="L26" s="42"/>
      <c r="M26" s="246"/>
      <c r="N26" s="246"/>
      <c r="O26" s="246"/>
      <c r="P26" s="246"/>
      <c r="Q26" s="847"/>
      <c r="AD26" s="1"/>
      <c r="AE26" s="1"/>
      <c r="AG26" s="1"/>
    </row>
    <row r="27" spans="1:64" ht="13.5" customHeight="1">
      <c r="A27" s="251"/>
      <c r="B27" s="253"/>
      <c r="C27" s="625"/>
      <c r="D27" s="179"/>
      <c r="E27" s="247"/>
      <c r="F27" s="184"/>
      <c r="G27" s="189"/>
      <c r="H27" s="628"/>
      <c r="I27" s="628"/>
      <c r="J27" s="628"/>
      <c r="K27" s="183"/>
      <c r="L27" s="179"/>
      <c r="M27" s="247"/>
      <c r="N27" s="247"/>
      <c r="O27" s="247"/>
      <c r="P27" s="248"/>
      <c r="Q27" s="848"/>
      <c r="AD27" s="1"/>
      <c r="AE27" s="1"/>
      <c r="AG27" s="1"/>
      <c r="BL27" s="1" t="s">
        <v>1310</v>
      </c>
    </row>
    <row r="28" spans="1:64" ht="13.5" customHeight="1">
      <c r="A28" s="260" t="s">
        <v>808</v>
      </c>
      <c r="B28" s="261"/>
      <c r="C28" s="262"/>
      <c r="D28" s="587"/>
      <c r="E28" s="588"/>
      <c r="F28" s="192" t="s">
        <v>807</v>
      </c>
      <c r="G28" s="190"/>
      <c r="H28" s="190"/>
      <c r="I28" s="190"/>
      <c r="J28" s="190"/>
      <c r="K28" s="190"/>
      <c r="L28" s="190"/>
      <c r="M28" s="190"/>
      <c r="N28" s="190"/>
      <c r="O28" s="190"/>
      <c r="P28" s="191"/>
      <c r="Q28" s="242" t="s">
        <v>625</v>
      </c>
      <c r="AD28" s="1"/>
      <c r="AE28" s="1"/>
      <c r="AG28" s="1"/>
      <c r="BL28" s="1" t="s">
        <v>1311</v>
      </c>
    </row>
    <row r="29" spans="1:64" ht="13.5" customHeight="1">
      <c r="A29" s="181"/>
      <c r="B29" s="182"/>
      <c r="C29" s="623"/>
      <c r="D29" s="26"/>
      <c r="E29" s="249"/>
      <c r="F29" s="181"/>
      <c r="G29" s="185"/>
      <c r="H29" s="623"/>
      <c r="I29" s="623"/>
      <c r="J29" s="623"/>
      <c r="K29" s="180"/>
      <c r="L29" s="626"/>
      <c r="M29" s="246"/>
      <c r="N29" s="246"/>
      <c r="O29" s="246"/>
      <c r="P29" s="246"/>
      <c r="Q29" s="859"/>
      <c r="AD29" s="1"/>
      <c r="AE29" s="1"/>
      <c r="AG29" s="1"/>
      <c r="BL29" s="1" t="s">
        <v>1312</v>
      </c>
    </row>
    <row r="30" spans="1:64" ht="13.5" customHeight="1">
      <c r="A30" s="181"/>
      <c r="B30" s="182"/>
      <c r="C30" s="623"/>
      <c r="D30" s="26"/>
      <c r="E30" s="249"/>
      <c r="F30" s="181"/>
      <c r="G30" s="182"/>
      <c r="H30" s="623"/>
      <c r="I30" s="623"/>
      <c r="J30" s="623"/>
      <c r="K30" s="180"/>
      <c r="L30" s="626"/>
      <c r="M30" s="246"/>
      <c r="N30" s="246"/>
      <c r="O30" s="246"/>
      <c r="P30" s="246"/>
      <c r="Q30" s="860"/>
      <c r="AD30" s="1"/>
      <c r="AE30" s="1"/>
      <c r="AG30" s="1"/>
      <c r="BL30" s="1" t="s">
        <v>1313</v>
      </c>
    </row>
    <row r="31" spans="1:64" ht="13.5" customHeight="1">
      <c r="A31" s="181"/>
      <c r="B31" s="182"/>
      <c r="C31" s="623"/>
      <c r="D31" s="26"/>
      <c r="E31" s="246"/>
      <c r="F31" s="181"/>
      <c r="G31" s="182"/>
      <c r="H31" s="623"/>
      <c r="I31" s="623"/>
      <c r="J31" s="623"/>
      <c r="K31" s="180"/>
      <c r="L31" s="627"/>
      <c r="M31" s="246"/>
      <c r="N31" s="246"/>
      <c r="O31" s="246"/>
      <c r="P31" s="246"/>
      <c r="Q31" s="243" t="s">
        <v>796</v>
      </c>
      <c r="AD31" s="1"/>
      <c r="AE31" s="1"/>
      <c r="AG31" s="1"/>
      <c r="BL31" s="1" t="s">
        <v>1314</v>
      </c>
    </row>
    <row r="32" spans="1:64" ht="13.5" customHeight="1">
      <c r="A32" s="181"/>
      <c r="B32" s="182"/>
      <c r="C32" s="623"/>
      <c r="D32" s="26"/>
      <c r="E32" s="246"/>
      <c r="F32" s="181"/>
      <c r="G32" s="182"/>
      <c r="H32" s="623"/>
      <c r="I32" s="623"/>
      <c r="J32" s="623"/>
      <c r="K32" s="180"/>
      <c r="L32" s="627"/>
      <c r="M32" s="246"/>
      <c r="N32" s="246"/>
      <c r="O32" s="246"/>
      <c r="P32" s="246"/>
      <c r="Q32" s="845"/>
      <c r="AD32" s="1"/>
      <c r="AE32" s="1"/>
      <c r="AG32" s="1"/>
      <c r="BL32" s="1" t="s">
        <v>1316</v>
      </c>
    </row>
    <row r="33" spans="1:64" ht="13.5" customHeight="1">
      <c r="A33" s="181"/>
      <c r="B33" s="182"/>
      <c r="C33" s="623"/>
      <c r="D33" s="26"/>
      <c r="E33" s="246"/>
      <c r="F33" s="181"/>
      <c r="G33" s="182"/>
      <c r="H33" s="623"/>
      <c r="I33" s="623"/>
      <c r="J33" s="623"/>
      <c r="K33" s="180"/>
      <c r="L33" s="627"/>
      <c r="M33" s="246"/>
      <c r="N33" s="246"/>
      <c r="O33" s="246"/>
      <c r="P33" s="246"/>
      <c r="Q33" s="846"/>
      <c r="AD33" s="1"/>
      <c r="AE33" s="1"/>
      <c r="AG33" s="1"/>
      <c r="BL33" s="1" t="s">
        <v>1315</v>
      </c>
    </row>
    <row r="34" spans="1:33" ht="13.5" customHeight="1">
      <c r="A34" s="250"/>
      <c r="B34" s="252"/>
      <c r="C34" s="624"/>
      <c r="D34" s="26"/>
      <c r="E34" s="246"/>
      <c r="F34" s="181"/>
      <c r="G34" s="182"/>
      <c r="H34" s="623"/>
      <c r="I34" s="623"/>
      <c r="J34" s="623"/>
      <c r="K34" s="180"/>
      <c r="L34" s="627"/>
      <c r="M34" s="246"/>
      <c r="N34" s="246"/>
      <c r="O34" s="246"/>
      <c r="P34" s="246"/>
      <c r="Q34" s="245" t="s">
        <v>795</v>
      </c>
      <c r="AD34" s="1"/>
      <c r="AE34" s="1"/>
      <c r="AG34" s="1"/>
    </row>
    <row r="35" spans="1:33" ht="13.5" customHeight="1">
      <c r="A35" s="250"/>
      <c r="B35" s="252"/>
      <c r="C35" s="624"/>
      <c r="D35" s="26"/>
      <c r="E35" s="246"/>
      <c r="F35" s="181"/>
      <c r="G35" s="182"/>
      <c r="H35" s="623"/>
      <c r="I35" s="623"/>
      <c r="J35" s="623"/>
      <c r="K35" s="180"/>
      <c r="L35" s="42"/>
      <c r="M35" s="246"/>
      <c r="N35" s="246"/>
      <c r="O35" s="246"/>
      <c r="P35" s="246"/>
      <c r="Q35" s="847"/>
      <c r="AD35" s="1"/>
      <c r="AE35" s="1"/>
      <c r="AG35" s="1"/>
    </row>
    <row r="36" spans="1:33" ht="13.5" customHeight="1">
      <c r="A36" s="251"/>
      <c r="B36" s="253"/>
      <c r="C36" s="625"/>
      <c r="D36" s="179"/>
      <c r="E36" s="247"/>
      <c r="F36" s="184"/>
      <c r="G36" s="189"/>
      <c r="H36" s="628"/>
      <c r="I36" s="628"/>
      <c r="J36" s="628"/>
      <c r="K36" s="183"/>
      <c r="L36" s="179"/>
      <c r="M36" s="247"/>
      <c r="N36" s="247"/>
      <c r="O36" s="247"/>
      <c r="P36" s="248"/>
      <c r="Q36" s="848"/>
      <c r="AD36" s="1"/>
      <c r="AE36" s="1"/>
      <c r="AG36" s="1"/>
    </row>
    <row r="37" spans="1:33" ht="13.5" customHeight="1">
      <c r="A37" s="260" t="s">
        <v>809</v>
      </c>
      <c r="B37" s="261"/>
      <c r="C37" s="262"/>
      <c r="D37" s="587"/>
      <c r="E37" s="588"/>
      <c r="F37" s="192" t="s">
        <v>807</v>
      </c>
      <c r="G37" s="190"/>
      <c r="H37" s="190"/>
      <c r="I37" s="190"/>
      <c r="J37" s="190"/>
      <c r="K37" s="190"/>
      <c r="L37" s="190"/>
      <c r="M37" s="190"/>
      <c r="N37" s="190"/>
      <c r="O37" s="190"/>
      <c r="P37" s="191"/>
      <c r="Q37" s="242" t="s">
        <v>625</v>
      </c>
      <c r="AD37" s="1"/>
      <c r="AE37" s="1"/>
      <c r="AG37" s="1"/>
    </row>
    <row r="38" spans="1:33" ht="13.5" customHeight="1">
      <c r="A38" s="181"/>
      <c r="B38" s="182"/>
      <c r="C38" s="623"/>
      <c r="D38" s="26"/>
      <c r="E38" s="249"/>
      <c r="F38" s="181"/>
      <c r="G38" s="185"/>
      <c r="H38" s="623"/>
      <c r="I38" s="623"/>
      <c r="J38" s="623"/>
      <c r="K38" s="180"/>
      <c r="L38" s="626"/>
      <c r="M38" s="246"/>
      <c r="N38" s="246"/>
      <c r="O38" s="246"/>
      <c r="P38" s="246"/>
      <c r="Q38" s="859"/>
      <c r="AD38" s="1"/>
      <c r="AE38" s="1"/>
      <c r="AG38" s="1"/>
    </row>
    <row r="39" spans="1:33" ht="13.5" customHeight="1">
      <c r="A39" s="181"/>
      <c r="B39" s="182"/>
      <c r="C39" s="623"/>
      <c r="D39" s="26"/>
      <c r="E39" s="249"/>
      <c r="F39" s="181"/>
      <c r="G39" s="182"/>
      <c r="H39" s="623"/>
      <c r="I39" s="623"/>
      <c r="J39" s="623"/>
      <c r="K39" s="180"/>
      <c r="L39" s="626"/>
      <c r="M39" s="246"/>
      <c r="N39" s="246"/>
      <c r="O39" s="246"/>
      <c r="P39" s="246"/>
      <c r="Q39" s="860"/>
      <c r="AD39" s="1"/>
      <c r="AE39" s="1"/>
      <c r="AG39" s="1"/>
    </row>
    <row r="40" spans="1:33" ht="13.5" customHeight="1">
      <c r="A40" s="181"/>
      <c r="B40" s="182"/>
      <c r="C40" s="623"/>
      <c r="D40" s="26"/>
      <c r="E40" s="188" t="str">
        <f>IF($X$8="x",$U$8,$U$7)</f>
        <v> </v>
      </c>
      <c r="F40" s="181"/>
      <c r="G40" s="182"/>
      <c r="H40" s="623"/>
      <c r="I40" s="623"/>
      <c r="J40" s="623"/>
      <c r="K40" s="180"/>
      <c r="L40" s="627"/>
      <c r="M40" s="246"/>
      <c r="N40" s="246"/>
      <c r="O40" s="246"/>
      <c r="P40" s="187" t="str">
        <f>IF($X$8="x",$U$8,$U$7)</f>
        <v> </v>
      </c>
      <c r="Q40" s="243" t="s">
        <v>796</v>
      </c>
      <c r="AD40" s="1"/>
      <c r="AE40" s="1"/>
      <c r="AG40" s="1"/>
    </row>
    <row r="41" spans="1:33" ht="13.5" customHeight="1">
      <c r="A41" s="181"/>
      <c r="B41" s="182"/>
      <c r="C41" s="623"/>
      <c r="D41" s="26"/>
      <c r="E41" s="188"/>
      <c r="F41" s="181"/>
      <c r="G41" s="182"/>
      <c r="H41" s="623"/>
      <c r="I41" s="623"/>
      <c r="J41" s="187"/>
      <c r="K41" s="180"/>
      <c r="L41" s="627"/>
      <c r="M41" s="246"/>
      <c r="N41" s="246"/>
      <c r="O41" s="246"/>
      <c r="P41" s="246"/>
      <c r="Q41" s="845"/>
      <c r="AD41" s="1"/>
      <c r="AE41" s="1"/>
      <c r="AG41" s="1"/>
    </row>
    <row r="42" spans="1:33" ht="13.5" customHeight="1">
      <c r="A42" s="181"/>
      <c r="B42" s="182"/>
      <c r="C42" s="623"/>
      <c r="D42" s="26"/>
      <c r="E42" s="246"/>
      <c r="F42" s="181"/>
      <c r="G42" s="182"/>
      <c r="H42" s="623"/>
      <c r="I42" s="623"/>
      <c r="J42" s="623"/>
      <c r="K42" s="180"/>
      <c r="L42" s="627"/>
      <c r="M42" s="246"/>
      <c r="N42" s="246"/>
      <c r="O42" s="246"/>
      <c r="P42" s="246"/>
      <c r="Q42" s="846"/>
      <c r="AD42" s="1"/>
      <c r="AE42" s="1"/>
      <c r="AG42" s="1"/>
    </row>
    <row r="43" spans="1:33" ht="13.5" customHeight="1">
      <c r="A43" s="250"/>
      <c r="B43" s="252"/>
      <c r="C43" s="624"/>
      <c r="D43" s="26"/>
      <c r="E43" s="188" t="str">
        <f>IF($X$8="x",$U$8,$U$7)</f>
        <v> </v>
      </c>
      <c r="F43" s="181"/>
      <c r="G43" s="182"/>
      <c r="H43" s="623"/>
      <c r="I43" s="623"/>
      <c r="K43" s="180"/>
      <c r="L43" s="627"/>
      <c r="M43" s="246"/>
      <c r="N43" s="246"/>
      <c r="O43" s="246"/>
      <c r="P43" s="187" t="str">
        <f>IF($X$8="x",$U$8,$U$7)</f>
        <v> </v>
      </c>
      <c r="Q43" s="245" t="s">
        <v>795</v>
      </c>
      <c r="AD43" s="1"/>
      <c r="AE43" s="1"/>
      <c r="AG43" s="1"/>
    </row>
    <row r="44" spans="1:33" ht="13.5" customHeight="1">
      <c r="A44" s="250"/>
      <c r="B44" s="252"/>
      <c r="C44" s="624"/>
      <c r="D44" s="26"/>
      <c r="E44" s="246"/>
      <c r="F44" s="181"/>
      <c r="G44" s="182"/>
      <c r="H44" s="623"/>
      <c r="I44" s="623"/>
      <c r="J44" s="623"/>
      <c r="K44" s="180"/>
      <c r="L44" s="42"/>
      <c r="M44" s="246"/>
      <c r="N44" s="246"/>
      <c r="O44" s="246"/>
      <c r="P44" s="246"/>
      <c r="Q44" s="847"/>
      <c r="AD44" s="1"/>
      <c r="AE44" s="1"/>
      <c r="AG44" s="1"/>
    </row>
    <row r="45" spans="1:33" ht="13.5" customHeight="1">
      <c r="A45" s="251"/>
      <c r="B45" s="253"/>
      <c r="C45" s="625"/>
      <c r="D45" s="179"/>
      <c r="E45" s="247"/>
      <c r="F45" s="184"/>
      <c r="G45" s="189"/>
      <c r="H45" s="628"/>
      <c r="I45" s="628"/>
      <c r="J45" s="628"/>
      <c r="K45" s="183"/>
      <c r="L45" s="179"/>
      <c r="M45" s="247"/>
      <c r="N45" s="247"/>
      <c r="O45" s="247"/>
      <c r="P45" s="248"/>
      <c r="Q45" s="848"/>
      <c r="AD45" s="1"/>
      <c r="AE45" s="1"/>
      <c r="AG45" s="1"/>
    </row>
    <row r="46" spans="1:33" ht="13.5" customHeight="1">
      <c r="A46" s="260" t="s">
        <v>810</v>
      </c>
      <c r="B46" s="261"/>
      <c r="C46" s="262"/>
      <c r="D46" s="587"/>
      <c r="E46" s="588"/>
      <c r="F46" s="192" t="s">
        <v>807</v>
      </c>
      <c r="G46" s="190"/>
      <c r="H46" s="190"/>
      <c r="I46" s="190"/>
      <c r="J46" s="190"/>
      <c r="K46" s="190"/>
      <c r="L46" s="190"/>
      <c r="M46" s="190"/>
      <c r="N46" s="190"/>
      <c r="O46" s="190"/>
      <c r="P46" s="191"/>
      <c r="Q46" s="242" t="s">
        <v>625</v>
      </c>
      <c r="AD46" s="1"/>
      <c r="AE46" s="1"/>
      <c r="AG46" s="1"/>
    </row>
    <row r="47" spans="1:33" ht="13.5" customHeight="1">
      <c r="A47" s="254"/>
      <c r="B47" s="185"/>
      <c r="C47" s="629"/>
      <c r="D47" s="207"/>
      <c r="E47" s="255"/>
      <c r="F47" s="181"/>
      <c r="G47" s="185"/>
      <c r="H47" s="623"/>
      <c r="I47" s="623"/>
      <c r="J47" s="623"/>
      <c r="K47" s="180"/>
      <c r="L47" s="626"/>
      <c r="M47" s="246"/>
      <c r="N47" s="246"/>
      <c r="O47" s="246"/>
      <c r="P47" s="246"/>
      <c r="Q47" s="859"/>
      <c r="AD47" s="1"/>
      <c r="AE47" s="1"/>
      <c r="AG47" s="1"/>
    </row>
    <row r="48" spans="1:33" ht="13.5" customHeight="1">
      <c r="A48" s="181"/>
      <c r="B48" s="182"/>
      <c r="C48" s="623"/>
      <c r="D48" s="26"/>
      <c r="E48" s="256"/>
      <c r="F48" s="181"/>
      <c r="G48" s="182"/>
      <c r="H48" s="623"/>
      <c r="I48" s="623"/>
      <c r="J48" s="623"/>
      <c r="K48" s="180"/>
      <c r="L48" s="626"/>
      <c r="M48" s="246"/>
      <c r="N48" s="246"/>
      <c r="O48" s="246"/>
      <c r="P48" s="246"/>
      <c r="Q48" s="860"/>
      <c r="AD48" s="1"/>
      <c r="AE48" s="1"/>
      <c r="AG48" s="1"/>
    </row>
    <row r="49" spans="1:33" ht="13.5" customHeight="1">
      <c r="A49" s="181"/>
      <c r="B49" s="182"/>
      <c r="C49" s="623"/>
      <c r="D49" s="26"/>
      <c r="E49" s="188" t="str">
        <f>IF($Y$8="x",$U$8,IF($X$8="x",$U$8,$U$7))</f>
        <v> </v>
      </c>
      <c r="F49" s="181"/>
      <c r="G49" s="182"/>
      <c r="H49" s="623"/>
      <c r="I49" s="623"/>
      <c r="J49" s="623"/>
      <c r="K49" s="180"/>
      <c r="L49" s="627"/>
      <c r="M49" s="246"/>
      <c r="N49" s="246"/>
      <c r="O49" s="246"/>
      <c r="P49" s="188" t="str">
        <f>IF($Y$8="x",$U$8,IF($X$8="x",$U$8,$U$7))</f>
        <v> </v>
      </c>
      <c r="Q49" s="243" t="s">
        <v>796</v>
      </c>
      <c r="AD49" s="1"/>
      <c r="AE49" s="1"/>
      <c r="AG49" s="1"/>
    </row>
    <row r="50" spans="1:33" ht="13.5" customHeight="1">
      <c r="A50" s="186"/>
      <c r="B50" s="182"/>
      <c r="C50" s="623"/>
      <c r="D50" s="26"/>
      <c r="E50" s="188"/>
      <c r="F50" s="186"/>
      <c r="G50" s="182"/>
      <c r="H50" s="623"/>
      <c r="I50" s="623"/>
      <c r="J50" s="630"/>
      <c r="K50" s="180"/>
      <c r="L50" s="627"/>
      <c r="M50" s="246"/>
      <c r="N50" s="246"/>
      <c r="O50" s="246"/>
      <c r="P50" s="188"/>
      <c r="Q50" s="845"/>
      <c r="AD50" s="1"/>
      <c r="AE50" s="1"/>
      <c r="AG50" s="1"/>
    </row>
    <row r="51" spans="1:33" ht="13.5" customHeight="1">
      <c r="A51" s="181"/>
      <c r="B51" s="182"/>
      <c r="C51" s="623"/>
      <c r="D51" s="26"/>
      <c r="E51" s="257"/>
      <c r="F51" s="181"/>
      <c r="G51" s="182"/>
      <c r="H51" s="623"/>
      <c r="I51" s="623"/>
      <c r="J51" s="623"/>
      <c r="K51" s="180"/>
      <c r="L51" s="627"/>
      <c r="M51" s="246"/>
      <c r="N51" s="246"/>
      <c r="O51" s="246"/>
      <c r="P51" s="246"/>
      <c r="Q51" s="846"/>
      <c r="AD51" s="1"/>
      <c r="AE51" s="1"/>
      <c r="AG51" s="1"/>
    </row>
    <row r="52" spans="1:33" ht="13.5" customHeight="1">
      <c r="A52" s="250"/>
      <c r="B52" s="252"/>
      <c r="C52" s="624"/>
      <c r="D52" s="26"/>
      <c r="E52" s="188" t="str">
        <f>IF($Y$8="x",$U$8,IF($X$8="x",$U$8,$U$7))</f>
        <v> </v>
      </c>
      <c r="F52" s="181"/>
      <c r="G52" s="182"/>
      <c r="H52" s="623"/>
      <c r="I52" s="623"/>
      <c r="J52" s="623"/>
      <c r="K52" s="180"/>
      <c r="L52" s="627"/>
      <c r="M52" s="246"/>
      <c r="N52" s="246"/>
      <c r="O52" s="246"/>
      <c r="P52" s="188" t="str">
        <f>IF($Y$8="x",$U$8,IF($X$8="x",$U$8,$U$7))</f>
        <v> </v>
      </c>
      <c r="Q52" s="245" t="s">
        <v>795</v>
      </c>
      <c r="AD52" s="1"/>
      <c r="AE52" s="1"/>
      <c r="AG52" s="1"/>
    </row>
    <row r="53" spans="1:33" ht="13.5" customHeight="1">
      <c r="A53" s="250"/>
      <c r="B53" s="252"/>
      <c r="C53" s="624"/>
      <c r="D53" s="26"/>
      <c r="E53" s="257"/>
      <c r="F53" s="181"/>
      <c r="G53" s="182"/>
      <c r="H53" s="623"/>
      <c r="I53" s="623"/>
      <c r="J53" s="623"/>
      <c r="K53" s="180"/>
      <c r="L53" s="42"/>
      <c r="M53" s="246"/>
      <c r="N53" s="246"/>
      <c r="O53" s="246"/>
      <c r="P53" s="246"/>
      <c r="Q53" s="847"/>
      <c r="AD53" s="1"/>
      <c r="AE53" s="1"/>
      <c r="AG53" s="1"/>
    </row>
    <row r="54" spans="1:33" ht="13.5" customHeight="1">
      <c r="A54" s="251"/>
      <c r="B54" s="253"/>
      <c r="C54" s="625"/>
      <c r="D54" s="179"/>
      <c r="E54" s="248"/>
      <c r="F54" s="184"/>
      <c r="G54" s="189"/>
      <c r="H54" s="628"/>
      <c r="I54" s="628"/>
      <c r="J54" s="628"/>
      <c r="K54" s="183"/>
      <c r="L54" s="179"/>
      <c r="M54" s="247"/>
      <c r="N54" s="247"/>
      <c r="O54" s="247"/>
      <c r="P54" s="248"/>
      <c r="Q54" s="848"/>
      <c r="AD54" s="1"/>
      <c r="AE54" s="1"/>
      <c r="AG54" s="1"/>
    </row>
    <row r="55" spans="1:33" ht="13.5" customHeight="1">
      <c r="A55" s="758" t="str">
        <f>Cover!$B$56</f>
        <v>MO FFA 2022-2025 Application-October 2022</v>
      </c>
      <c r="B55" s="402"/>
      <c r="C55" s="589"/>
      <c r="D55" s="3"/>
      <c r="E55" s="3"/>
      <c r="F55" s="590"/>
      <c r="G55" s="590"/>
      <c r="H55" s="591"/>
      <c r="I55" s="689" t="s">
        <v>1364</v>
      </c>
      <c r="J55" s="13"/>
      <c r="K55" s="843">
        <f ca="1">NOW()</f>
        <v>45188.54951967593</v>
      </c>
      <c r="L55" s="844"/>
      <c r="M55" s="844"/>
      <c r="N55" s="592"/>
      <c r="O55" s="593"/>
      <c r="P55" s="856">
        <f>Cover!$M$56</f>
        <v>0</v>
      </c>
      <c r="Q55" s="856"/>
      <c r="AD55" s="1"/>
      <c r="AE55" s="1"/>
      <c r="AG55" s="1"/>
    </row>
    <row r="56" spans="1:33" ht="24" customHeight="1">
      <c r="A56" s="531"/>
      <c r="B56" s="531"/>
      <c r="C56" s="50"/>
      <c r="D56" s="50"/>
      <c r="E56" s="50"/>
      <c r="F56" s="50"/>
      <c r="G56" s="50"/>
      <c r="H56" s="50"/>
      <c r="I56" s="50"/>
      <c r="J56" s="50"/>
      <c r="K56" s="50"/>
      <c r="L56" s="50"/>
      <c r="M56" s="50"/>
      <c r="N56" s="50"/>
      <c r="O56" s="50"/>
      <c r="P56" s="50"/>
      <c r="Q56" s="50"/>
      <c r="AD56" s="1"/>
      <c r="AE56" s="1"/>
      <c r="AG56" s="1"/>
    </row>
    <row r="57" spans="3:33" ht="24" customHeight="1" hidden="1">
      <c r="C57" s="50"/>
      <c r="D57" s="532"/>
      <c r="E57" s="532"/>
      <c r="F57" s="532"/>
      <c r="G57" s="532"/>
      <c r="H57" s="533"/>
      <c r="I57" s="16"/>
      <c r="J57" s="16"/>
      <c r="K57" s="16"/>
      <c r="L57" s="16"/>
      <c r="M57" s="16"/>
      <c r="N57" s="16"/>
      <c r="O57" s="16"/>
      <c r="P57" s="16"/>
      <c r="Q57" s="16"/>
      <c r="AD57" s="1"/>
      <c r="AE57" s="1"/>
      <c r="AG57" s="1"/>
    </row>
    <row r="58" spans="15:33" ht="12.75" hidden="1">
      <c r="O58" s="405"/>
      <c r="P58" s="405"/>
      <c r="Q58" s="405"/>
      <c r="AD58" s="1"/>
      <c r="AE58" s="1"/>
      <c r="AG58" s="1"/>
    </row>
    <row r="59" spans="30:33" ht="12.75" hidden="1">
      <c r="AD59" s="1"/>
      <c r="AE59" s="1"/>
      <c r="AG59" s="1"/>
    </row>
    <row r="60" spans="30:33" ht="12.75" hidden="1">
      <c r="AD60" s="1"/>
      <c r="AE60" s="1"/>
      <c r="AG60" s="1"/>
    </row>
    <row r="61" spans="30:33" ht="12.75" hidden="1">
      <c r="AD61" s="1"/>
      <c r="AE61" s="1"/>
      <c r="AG61" s="1"/>
    </row>
    <row r="62" spans="30:33" ht="12.75" hidden="1">
      <c r="AD62" s="1"/>
      <c r="AE62" s="1"/>
      <c r="AG62" s="1"/>
    </row>
    <row r="63" spans="30:33" ht="12.75" hidden="1">
      <c r="AD63" s="1"/>
      <c r="AE63" s="1"/>
      <c r="AG63" s="1"/>
    </row>
    <row r="64" spans="30:33" ht="12.75" hidden="1">
      <c r="AD64" s="1"/>
      <c r="AE64" s="1"/>
      <c r="AG64" s="1"/>
    </row>
    <row r="65" spans="30:33" ht="12.75" hidden="1">
      <c r="AD65" s="1"/>
      <c r="AE65" s="1"/>
      <c r="AG65" s="1"/>
    </row>
    <row r="66" spans="30:33" ht="12.75" hidden="1">
      <c r="AD66" s="1"/>
      <c r="AE66" s="1"/>
      <c r="AG66" s="1"/>
    </row>
    <row r="67" spans="30:33" ht="12.75" hidden="1">
      <c r="AD67" s="1"/>
      <c r="AE67" s="1"/>
      <c r="AG67" s="1"/>
    </row>
    <row r="68" spans="30:33" ht="12.75" hidden="1">
      <c r="AD68" s="1"/>
      <c r="AE68" s="1"/>
      <c r="AG68" s="1"/>
    </row>
    <row r="69" spans="30:33" ht="12.75" hidden="1">
      <c r="AD69" s="1"/>
      <c r="AE69" s="1"/>
      <c r="AG69" s="1"/>
    </row>
    <row r="70" spans="30:33" ht="12.75" hidden="1">
      <c r="AD70" s="1"/>
      <c r="AE70" s="1"/>
      <c r="AG70" s="1"/>
    </row>
    <row r="71" spans="30:33" ht="12.75" hidden="1">
      <c r="AD71" s="1"/>
      <c r="AE71" s="1"/>
      <c r="AG71" s="1"/>
    </row>
    <row r="72" spans="30:33" ht="12.75" hidden="1">
      <c r="AD72" s="1"/>
      <c r="AE72" s="1"/>
      <c r="AG72" s="1"/>
    </row>
    <row r="73" spans="30:33" ht="12.75" hidden="1">
      <c r="AD73" s="1"/>
      <c r="AE73" s="1"/>
      <c r="AG73" s="1"/>
    </row>
    <row r="74" spans="30:33" ht="12.75" hidden="1">
      <c r="AD74" s="1"/>
      <c r="AE74" s="1"/>
      <c r="AG74" s="1"/>
    </row>
    <row r="75" spans="30:33" ht="12.75" hidden="1">
      <c r="AD75" s="1"/>
      <c r="AE75" s="1"/>
      <c r="AG75" s="1"/>
    </row>
    <row r="76" spans="30:33" ht="12.75" hidden="1">
      <c r="AD76" s="1"/>
      <c r="AE76" s="1"/>
      <c r="AG76" s="1"/>
    </row>
    <row r="77" spans="30:33" ht="12.75" hidden="1">
      <c r="AD77" s="1"/>
      <c r="AE77" s="1"/>
      <c r="AG77" s="1"/>
    </row>
    <row r="78" spans="30:33" ht="12.75" hidden="1">
      <c r="AD78" s="1"/>
      <c r="AE78" s="1"/>
      <c r="AG78" s="1"/>
    </row>
    <row r="79" spans="30:33" ht="12.75" hidden="1">
      <c r="AD79" s="1"/>
      <c r="AE79" s="1"/>
      <c r="AG79" s="1"/>
    </row>
    <row r="80" spans="30:33" ht="12.75" hidden="1">
      <c r="AD80" s="1"/>
      <c r="AE80" s="1"/>
      <c r="AG80" s="1"/>
    </row>
    <row r="81" spans="30:33" ht="12.75" hidden="1">
      <c r="AD81" s="1"/>
      <c r="AE81" s="1"/>
      <c r="AG81" s="1"/>
    </row>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sheetData>
  <sheetProtection password="9D8A" sheet="1" selectLockedCells="1"/>
  <mergeCells count="29">
    <mergeCell ref="D16:F16"/>
    <mergeCell ref="I9:K9"/>
    <mergeCell ref="I8:K8"/>
    <mergeCell ref="Q47:Q48"/>
    <mergeCell ref="L9:Q9"/>
    <mergeCell ref="L17:O17"/>
    <mergeCell ref="D17:F17"/>
    <mergeCell ref="L10:O11"/>
    <mergeCell ref="L16:O16"/>
    <mergeCell ref="L15:O15"/>
    <mergeCell ref="A17:B17"/>
    <mergeCell ref="Q44:Q45"/>
    <mergeCell ref="Q38:Q39"/>
    <mergeCell ref="Q35:Q36"/>
    <mergeCell ref="Q20:Q21"/>
    <mergeCell ref="Q23:Q24"/>
    <mergeCell ref="Q26:Q27"/>
    <mergeCell ref="Q29:Q30"/>
    <mergeCell ref="Q32:Q33"/>
    <mergeCell ref="Q41:Q42"/>
    <mergeCell ref="K55:M55"/>
    <mergeCell ref="Q50:Q51"/>
    <mergeCell ref="Q53:Q54"/>
    <mergeCell ref="I10:I11"/>
    <mergeCell ref="K10:K11"/>
    <mergeCell ref="L12:O12"/>
    <mergeCell ref="L13:O13"/>
    <mergeCell ref="L14:O14"/>
    <mergeCell ref="P55:Q55"/>
  </mergeCells>
  <printOptions horizontalCentered="1" verticalCentered="1"/>
  <pageMargins left="0.25" right="0.25" top="0.45" bottom="0.25" header="0" footer="0"/>
  <pageSetup fitToHeight="1" fitToWidth="1"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A1:BK154"/>
  <sheetViews>
    <sheetView showGridLines="0" showZeros="0" zoomScalePageLayoutView="0" workbookViewId="0" topLeftCell="A1">
      <selection activeCell="E37" sqref="E37:F37"/>
    </sheetView>
  </sheetViews>
  <sheetFormatPr defaultColWidth="9.140625" defaultRowHeight="12.75"/>
  <cols>
    <col min="1" max="1" width="6.7109375" style="1" customWidth="1"/>
    <col min="2" max="3" width="6.57421875" style="1" customWidth="1"/>
    <col min="4" max="4" width="6.00390625" style="1" customWidth="1"/>
    <col min="5" max="6" width="3.7109375" style="1" customWidth="1"/>
    <col min="7" max="7" width="6.57421875" style="1" customWidth="1"/>
    <col min="8" max="8" width="12.8515625" style="1" customWidth="1"/>
    <col min="9" max="9" width="6.7109375" style="1" customWidth="1"/>
    <col min="10" max="11" width="6.57421875" style="1" customWidth="1"/>
    <col min="12" max="12" width="6.00390625" style="1" customWidth="1"/>
    <col min="13" max="14" width="3.7109375" style="1" customWidth="1"/>
    <col min="15" max="15" width="6.57421875" style="1" customWidth="1"/>
    <col min="16" max="16" width="14.28125" style="1" customWidth="1"/>
    <col min="17" max="28" width="14.28125" style="1" hidden="1" customWidth="1"/>
    <col min="29" max="29" width="14.28125" style="44" hidden="1" customWidth="1"/>
    <col min="30" max="30" width="14.28125" style="45" hidden="1" customWidth="1"/>
    <col min="31" max="31" width="14.28125" style="1" hidden="1" customWidth="1"/>
    <col min="32" max="32" width="14.28125" style="44" hidden="1" customWidth="1"/>
    <col min="33" max="64" width="14.28125" style="1" hidden="1" customWidth="1"/>
    <col min="65" max="93" width="9.140625" style="1" customWidth="1"/>
    <col min="94" max="16384" width="9.140625" style="1" customWidth="1"/>
  </cols>
  <sheetData>
    <row r="1" ht="33.75" customHeight="1">
      <c r="A1" s="38"/>
    </row>
    <row r="2" ht="33.75" customHeight="1">
      <c r="O2" s="519"/>
    </row>
    <row r="3" ht="33.75" customHeight="1"/>
    <row r="4" ht="33.75" customHeight="1"/>
    <row r="5" ht="33.75" customHeight="1"/>
    <row r="6" ht="33.75" customHeight="1"/>
    <row r="7" spans="1:21" ht="19.5" customHeight="1">
      <c r="A7" s="535" t="s">
        <v>823</v>
      </c>
      <c r="U7" s="1" t="s">
        <v>589</v>
      </c>
    </row>
    <row r="8" spans="1:21" ht="15" customHeight="1">
      <c r="A8" s="921"/>
      <c r="B8" s="921"/>
      <c r="C8" s="921"/>
      <c r="D8" s="921"/>
      <c r="E8" s="921"/>
      <c r="F8" s="921"/>
      <c r="G8" s="921"/>
      <c r="H8" s="921"/>
      <c r="I8" s="921"/>
      <c r="J8" s="921"/>
      <c r="K8" s="921"/>
      <c r="L8" s="921"/>
      <c r="M8" s="921"/>
      <c r="N8" s="921"/>
      <c r="O8" s="921"/>
      <c r="P8" s="921"/>
      <c r="U8" s="1" t="s">
        <v>640</v>
      </c>
    </row>
    <row r="9" spans="1:23" ht="17.25" customHeight="1">
      <c r="A9" s="521"/>
      <c r="B9" s="922" t="s">
        <v>1143</v>
      </c>
      <c r="C9" s="922"/>
      <c r="D9" s="922"/>
      <c r="E9" s="922"/>
      <c r="F9" s="922"/>
      <c r="G9" s="922"/>
      <c r="H9" s="922"/>
      <c r="I9" s="49"/>
      <c r="J9" s="924" t="s">
        <v>1144</v>
      </c>
      <c r="K9" s="924"/>
      <c r="L9" s="924"/>
      <c r="M9" s="924"/>
      <c r="N9" s="924"/>
      <c r="O9" s="924"/>
      <c r="P9" s="924"/>
      <c r="R9" s="46">
        <f>SUM($K$12:$K$15)+$V$15+$V$29</f>
        <v>0</v>
      </c>
      <c r="S9" s="46">
        <f>IF(R9&lt;200,R9,200)</f>
        <v>0</v>
      </c>
      <c r="W9" s="1" t="s">
        <v>589</v>
      </c>
    </row>
    <row r="10" spans="1:19" ht="12" customHeight="1">
      <c r="A10" s="522"/>
      <c r="B10" s="594" t="s">
        <v>584</v>
      </c>
      <c r="C10" s="595" t="s">
        <v>583</v>
      </c>
      <c r="D10" s="910" t="s">
        <v>642</v>
      </c>
      <c r="E10" s="910" t="s">
        <v>643</v>
      </c>
      <c r="F10" s="910"/>
      <c r="G10" s="911" t="s">
        <v>822</v>
      </c>
      <c r="H10" s="923" t="str">
        <f>IF(AW14=1,$U$8,$U$7)</f>
        <v> </v>
      </c>
      <c r="I10" s="49"/>
      <c r="J10" s="594" t="s">
        <v>584</v>
      </c>
      <c r="K10" s="595" t="s">
        <v>583</v>
      </c>
      <c r="L10" s="910" t="s">
        <v>642</v>
      </c>
      <c r="M10" s="910" t="s">
        <v>643</v>
      </c>
      <c r="N10" s="910"/>
      <c r="O10" s="911" t="s">
        <v>822</v>
      </c>
      <c r="P10" s="923" t="str">
        <f>IF(AW14=1,$U$8,$U$7)</f>
        <v> </v>
      </c>
      <c r="R10" s="46"/>
      <c r="S10" s="46"/>
    </row>
    <row r="11" spans="1:48" ht="12" customHeight="1">
      <c r="A11" s="522"/>
      <c r="B11" s="598" t="s">
        <v>821</v>
      </c>
      <c r="C11" s="599" t="s">
        <v>821</v>
      </c>
      <c r="D11" s="910"/>
      <c r="E11" s="910"/>
      <c r="F11" s="910"/>
      <c r="G11" s="911"/>
      <c r="H11" s="923"/>
      <c r="I11" s="523"/>
      <c r="J11" s="598" t="s">
        <v>821</v>
      </c>
      <c r="K11" s="599" t="s">
        <v>821</v>
      </c>
      <c r="L11" s="910"/>
      <c r="M11" s="910"/>
      <c r="N11" s="910"/>
      <c r="O11" s="911"/>
      <c r="P11" s="923"/>
      <c r="R11" s="1" t="s">
        <v>1140</v>
      </c>
      <c r="S11" s="1" t="s">
        <v>644</v>
      </c>
      <c r="W11" s="1" t="s">
        <v>645</v>
      </c>
      <c r="Y11" s="1" t="s">
        <v>646</v>
      </c>
      <c r="AC11" s="63" t="s">
        <v>637</v>
      </c>
      <c r="AF11" s="63" t="s">
        <v>739</v>
      </c>
      <c r="AN11" s="1" t="str">
        <f>Worksheet!$M$10</f>
        <v>ERROR</v>
      </c>
      <c r="AQ11" s="1" t="s">
        <v>589</v>
      </c>
      <c r="AS11" s="60" t="s">
        <v>619</v>
      </c>
      <c r="AT11" s="60" t="s">
        <v>620</v>
      </c>
      <c r="AU11" s="60" t="s">
        <v>621</v>
      </c>
      <c r="AV11" s="60" t="s">
        <v>622</v>
      </c>
    </row>
    <row r="12" spans="2:48" ht="18">
      <c r="B12" s="213"/>
      <c r="C12" s="214">
        <f>$T$12</f>
        <v>0</v>
      </c>
      <c r="D12" s="600">
        <v>1</v>
      </c>
      <c r="E12" s="907"/>
      <c r="F12" s="908"/>
      <c r="G12" s="650">
        <f>$T$12</f>
        <v>0</v>
      </c>
      <c r="H12" s="215" t="str">
        <f>IF($W$15="Error",$W$11,$W$13)</f>
        <v> </v>
      </c>
      <c r="I12" s="14"/>
      <c r="J12" s="43"/>
      <c r="K12" s="218">
        <f>$T$19</f>
        <v>0</v>
      </c>
      <c r="L12" s="600">
        <v>1</v>
      </c>
      <c r="M12" s="907"/>
      <c r="N12" s="908"/>
      <c r="O12" s="219">
        <f>$T$19</f>
        <v>0</v>
      </c>
      <c r="P12" s="215" t="str">
        <f>IF($W$22="Error",$W$11,$W$13)</f>
        <v> </v>
      </c>
      <c r="R12" s="47">
        <f>E12/15</f>
        <v>0</v>
      </c>
      <c r="S12" s="1">
        <f>IF($U$12&gt;2000,$S$11,IF($E$12&gt;2000,$S$11,$R$12))</f>
        <v>0</v>
      </c>
      <c r="T12" s="1">
        <f>$S$12</f>
        <v>0</v>
      </c>
      <c r="U12" s="47">
        <f>$E$12+$M$12+$M$19+E19+E29</f>
        <v>0</v>
      </c>
      <c r="W12" s="1" t="s">
        <v>648</v>
      </c>
      <c r="Y12" s="1" t="s">
        <v>647</v>
      </c>
      <c r="AC12" s="44">
        <v>-500000</v>
      </c>
      <c r="AD12" s="1">
        <v>0</v>
      </c>
      <c r="AF12" s="44">
        <v>-500000</v>
      </c>
      <c r="AG12" s="1">
        <v>0</v>
      </c>
      <c r="AM12" s="1" t="s">
        <v>632</v>
      </c>
      <c r="AN12" s="44" t="e">
        <f>($A$27+$C$13+$K$13)-#REF!</f>
        <v>#REF!</v>
      </c>
      <c r="AO12" s="47" t="e">
        <f>IF($AN$12&gt;0,$AN$12,0)</f>
        <v>#REF!</v>
      </c>
      <c r="AQ12" s="1" t="s">
        <v>624</v>
      </c>
      <c r="AS12" s="60">
        <f>Worksheet!$E$10</f>
        <v>0</v>
      </c>
      <c r="AT12" s="60">
        <f>Worksheet!$F$10</f>
        <v>0</v>
      </c>
      <c r="AU12" s="60">
        <f>Worksheet!$G$10</f>
        <v>0</v>
      </c>
      <c r="AV12" s="60">
        <f>Worksheet!$H$10</f>
        <v>0</v>
      </c>
    </row>
    <row r="13" spans="2:47" ht="19.5" customHeight="1">
      <c r="B13" s="213"/>
      <c r="C13" s="214">
        <f>$T$13</f>
        <v>0</v>
      </c>
      <c r="D13" s="601">
        <v>2</v>
      </c>
      <c r="E13" s="907"/>
      <c r="F13" s="908"/>
      <c r="G13" s="650">
        <f>$T$13</f>
        <v>0</v>
      </c>
      <c r="H13" s="216" t="str">
        <f>IF($W$15="Error",$W$12,$W$13)</f>
        <v> </v>
      </c>
      <c r="I13" s="42"/>
      <c r="J13" s="213"/>
      <c r="K13" s="214">
        <f>$T$20</f>
        <v>0</v>
      </c>
      <c r="L13" s="601">
        <v>2</v>
      </c>
      <c r="M13" s="907"/>
      <c r="N13" s="908"/>
      <c r="O13" s="219">
        <f>$T$20</f>
        <v>0</v>
      </c>
      <c r="P13" s="216" t="str">
        <f>IF($Z$22="Error",$W$19,IF($W$22="Error",$W$12,$W$13))</f>
        <v> </v>
      </c>
      <c r="R13" s="47">
        <f>E13/15</f>
        <v>0</v>
      </c>
      <c r="S13" s="1">
        <f>IF($U$13&gt;2000,$S$11,IF($E$13&gt;2000,$S$11,$R$13))</f>
        <v>0</v>
      </c>
      <c r="T13" s="1">
        <f>$S$13</f>
        <v>0</v>
      </c>
      <c r="U13" s="47">
        <f>$E$13+$M$13+$M$20+E20+E30</f>
        <v>0</v>
      </c>
      <c r="W13" s="1" t="s">
        <v>589</v>
      </c>
      <c r="AC13" s="44">
        <v>1</v>
      </c>
      <c r="AD13" s="1">
        <v>0.001</v>
      </c>
      <c r="AF13" s="44">
        <v>0</v>
      </c>
      <c r="AG13" s="1">
        <v>0</v>
      </c>
      <c r="AM13" s="1" t="s">
        <v>635</v>
      </c>
      <c r="AN13" s="44" t="e">
        <f>($A$43+$C$14+$K$14)-#REF!</f>
        <v>#REF!</v>
      </c>
      <c r="AO13" s="47" t="e">
        <f>IF($AN$13&gt;0,$AN$13,0)</f>
        <v>#REF!</v>
      </c>
      <c r="AS13" s="47">
        <f>$E$13+$E$14+$E$15+$M$13+$M$14+$M$15+$M$20+$M$21+$M$22+$E$20+$E$21+$E$22+$E$30+$E$31+$E$32</f>
        <v>0</v>
      </c>
      <c r="AT13" s="47">
        <f>$E$14+$E$15+$M$14+$M$15+$M$21+$M$22+$E$21+$E$22+$E$31+$E$32</f>
        <v>0</v>
      </c>
      <c r="AU13" s="47">
        <f>$E$15+$M$15+$M$22+$E$22+$E$32</f>
        <v>0</v>
      </c>
    </row>
    <row r="14" spans="2:49" ht="19.5" customHeight="1">
      <c r="B14" s="213"/>
      <c r="C14" s="214">
        <f>$T$14</f>
        <v>0</v>
      </c>
      <c r="D14" s="600">
        <v>3</v>
      </c>
      <c r="E14" s="907"/>
      <c r="F14" s="908"/>
      <c r="G14" s="650">
        <f>$T$14</f>
        <v>0</v>
      </c>
      <c r="H14" s="597" t="s">
        <v>795</v>
      </c>
      <c r="I14" s="42"/>
      <c r="J14" s="213"/>
      <c r="K14" s="214">
        <f>$T$21</f>
        <v>0</v>
      </c>
      <c r="L14" s="600">
        <v>3</v>
      </c>
      <c r="M14" s="907"/>
      <c r="N14" s="908"/>
      <c r="O14" s="219">
        <f>$T$21</f>
        <v>0</v>
      </c>
      <c r="P14" s="597" t="s">
        <v>795</v>
      </c>
      <c r="R14" s="47">
        <f>E14/15</f>
        <v>0</v>
      </c>
      <c r="S14" s="1">
        <f>IF($U$14&gt;2000,$S$11,IF($E$14&gt;2000,$S$11,$R$14))</f>
        <v>0</v>
      </c>
      <c r="T14" s="1">
        <f>IF($E$14=0,$S$14,IF($AV$12="x",$S$14,IF($AU$12="x",$S$14,"Error")))</f>
        <v>0</v>
      </c>
      <c r="U14" s="47">
        <f>$E$14+$M$14+$M$21+E21+E31</f>
        <v>0</v>
      </c>
      <c r="AC14" s="44">
        <v>1000</v>
      </c>
      <c r="AD14" s="45">
        <v>5</v>
      </c>
      <c r="AF14" s="44">
        <v>100</v>
      </c>
      <c r="AG14" s="1">
        <v>5</v>
      </c>
      <c r="AM14" s="1" t="s">
        <v>636</v>
      </c>
      <c r="AN14" s="44" t="e">
        <f>($A$51+$C$15+$K$15)-#REF!</f>
        <v>#REF!</v>
      </c>
      <c r="AO14" s="47" t="e">
        <f>IF($AN$14&gt;0,$AN$14,0)</f>
        <v>#REF!</v>
      </c>
      <c r="AS14" s="1">
        <f>IF($AS$12="x",IF($AS$13=0,0,1),0)</f>
        <v>0</v>
      </c>
      <c r="AT14" s="1">
        <f>IF($AT$12="x",IF($AT$13=0,0,1),0)</f>
        <v>0</v>
      </c>
      <c r="AU14" s="1">
        <f>IF($AU$12="x",IF($AU$13=0,0,1),0)</f>
        <v>0</v>
      </c>
      <c r="AV14" s="1">
        <f>IF($AV$12="x",0,0)</f>
        <v>0</v>
      </c>
      <c r="AW14" s="1">
        <f>SUM($AS$14:$AV$14)</f>
        <v>0</v>
      </c>
    </row>
    <row r="15" spans="2:42" ht="19.5" customHeight="1">
      <c r="B15" s="217"/>
      <c r="C15" s="218">
        <f>$T$15</f>
        <v>0</v>
      </c>
      <c r="D15" s="602">
        <v>4</v>
      </c>
      <c r="E15" s="907"/>
      <c r="F15" s="908"/>
      <c r="G15" s="651">
        <f>$T$15</f>
        <v>0</v>
      </c>
      <c r="H15" s="225">
        <f>$V$15</f>
        <v>0</v>
      </c>
      <c r="I15" s="42"/>
      <c r="J15" s="217"/>
      <c r="K15" s="218">
        <f>$T$22</f>
        <v>0</v>
      </c>
      <c r="L15" s="602">
        <v>4</v>
      </c>
      <c r="M15" s="907"/>
      <c r="N15" s="908"/>
      <c r="O15" s="219">
        <f>$T$22</f>
        <v>0</v>
      </c>
      <c r="P15" s="225">
        <f>$V$22</f>
        <v>0</v>
      </c>
      <c r="R15" s="47">
        <f>E15/15</f>
        <v>0</v>
      </c>
      <c r="S15" s="1">
        <f>IF($U$15&gt;2000,$S$11,IF($E$15&gt;2000,$S$11,$R$15))</f>
        <v>0</v>
      </c>
      <c r="T15" s="1">
        <f>IF($E$15=0,$S$15,IF($AV$12="x",$S$15,"Error"))</f>
        <v>0</v>
      </c>
      <c r="U15" s="47">
        <f>$E$15+$M$15+$M$22+E22+E32</f>
        <v>0</v>
      </c>
      <c r="V15" s="1">
        <f>IF($T$12=$S$11,$S$11,IF($T$13=$S$11,$S$11,IF($T$14=$S$11,$S$11,IF($T$15=$S$11,$S$11,$S$16))))</f>
        <v>0</v>
      </c>
      <c r="W15" s="1">
        <f>IF($S$12=$S$11,$S$11,IF($S$13=$S$11,$S$11,IF($S$14=$S$11,$S$11,IF($S$15=$S$11,$S$11,$S$16))))</f>
        <v>0</v>
      </c>
      <c r="AC15" s="44">
        <v>2001</v>
      </c>
      <c r="AD15" s="45">
        <v>10</v>
      </c>
      <c r="AF15" s="44">
        <v>101</v>
      </c>
      <c r="AG15" s="1">
        <v>10</v>
      </c>
      <c r="AO15" s="524" t="str">
        <f>IF($AN$11=2,$AO$12,IF($AN$11=3,$AO$13,IF($AN$11=4,$AO$14,"ERR")))</f>
        <v>ERR</v>
      </c>
      <c r="AP15" s="525" t="e">
        <f>IF(#REF!=0,$AO$20,"See Worksheet")</f>
        <v>#REF!</v>
      </c>
    </row>
    <row r="16" spans="2:33" ht="34.5" customHeight="1">
      <c r="B16" s="909" t="s">
        <v>1255</v>
      </c>
      <c r="C16" s="909"/>
      <c r="D16" s="909"/>
      <c r="E16" s="909"/>
      <c r="F16" s="909"/>
      <c r="G16" s="909"/>
      <c r="H16" s="909"/>
      <c r="I16" s="42"/>
      <c r="J16" s="603" t="s">
        <v>649</v>
      </c>
      <c r="K16" s="604"/>
      <c r="L16" s="605"/>
      <c r="M16" s="605"/>
      <c r="N16" s="606"/>
      <c r="O16" s="606"/>
      <c r="P16" s="606"/>
      <c r="S16" s="1">
        <f>SUM($S$12:$S$15)</f>
        <v>0</v>
      </c>
      <c r="T16" s="1">
        <f>IF(T15="Error",T15,IF(T14="Error",T14,IF(T13="Error",T13,IF(T12="Error",T12,($T$12+$T$13+$T$14+$T$15)))))</f>
        <v>0</v>
      </c>
      <c r="AC16" s="44">
        <v>3001</v>
      </c>
      <c r="AD16" s="45">
        <v>15</v>
      </c>
      <c r="AF16" s="44">
        <v>201</v>
      </c>
      <c r="AG16" s="1">
        <v>15</v>
      </c>
    </row>
    <row r="17" spans="2:33" ht="12" customHeight="1">
      <c r="B17" s="594" t="s">
        <v>584</v>
      </c>
      <c r="C17" s="595" t="s">
        <v>583</v>
      </c>
      <c r="D17" s="910" t="s">
        <v>642</v>
      </c>
      <c r="E17" s="910" t="s">
        <v>643</v>
      </c>
      <c r="F17" s="910"/>
      <c r="G17" s="911" t="s">
        <v>822</v>
      </c>
      <c r="H17" s="912" t="str">
        <f>IF(AW14=1,$U$8,$U$7)</f>
        <v> </v>
      </c>
      <c r="I17" s="42"/>
      <c r="J17" s="594" t="s">
        <v>584</v>
      </c>
      <c r="K17" s="595" t="s">
        <v>583</v>
      </c>
      <c r="L17" s="910" t="s">
        <v>642</v>
      </c>
      <c r="M17" s="910" t="s">
        <v>643</v>
      </c>
      <c r="N17" s="910"/>
      <c r="O17" s="911" t="s">
        <v>822</v>
      </c>
      <c r="P17" s="923" t="str">
        <f>IF(AW14=1,$U$8,$U$7)</f>
        <v> </v>
      </c>
      <c r="AC17" s="44">
        <v>4001</v>
      </c>
      <c r="AD17" s="45">
        <v>20</v>
      </c>
      <c r="AF17" s="44">
        <v>301</v>
      </c>
      <c r="AG17" s="1">
        <v>20</v>
      </c>
    </row>
    <row r="18" spans="2:41" ht="12" customHeight="1">
      <c r="B18" s="598" t="s">
        <v>821</v>
      </c>
      <c r="C18" s="599" t="s">
        <v>821</v>
      </c>
      <c r="D18" s="910"/>
      <c r="E18" s="910"/>
      <c r="F18" s="910"/>
      <c r="G18" s="911"/>
      <c r="H18" s="912"/>
      <c r="I18" s="212"/>
      <c r="J18" s="598" t="s">
        <v>821</v>
      </c>
      <c r="K18" s="599" t="s">
        <v>821</v>
      </c>
      <c r="L18" s="910"/>
      <c r="M18" s="910"/>
      <c r="N18" s="910"/>
      <c r="O18" s="911"/>
      <c r="P18" s="923"/>
      <c r="R18" s="1" t="s">
        <v>1142</v>
      </c>
      <c r="AC18" s="44">
        <v>5001</v>
      </c>
      <c r="AD18" s="45">
        <v>25</v>
      </c>
      <c r="AF18" s="44">
        <v>401</v>
      </c>
      <c r="AG18" s="1">
        <v>25</v>
      </c>
      <c r="AO18" s="47" t="e">
        <f>$AO$13+$AO$14</f>
        <v>#REF!</v>
      </c>
    </row>
    <row r="19" spans="2:33" ht="19.5" customHeight="1">
      <c r="B19" s="213"/>
      <c r="C19" s="214">
        <f>T33</f>
        <v>0</v>
      </c>
      <c r="D19" s="600">
        <v>1</v>
      </c>
      <c r="E19" s="907"/>
      <c r="F19" s="908"/>
      <c r="G19" s="650">
        <f>T33</f>
        <v>0</v>
      </c>
      <c r="H19" s="215" t="str">
        <f>IF($W$36="Error",$W$11,$W$13)</f>
        <v> </v>
      </c>
      <c r="I19" s="14"/>
      <c r="J19" s="213"/>
      <c r="K19" s="214">
        <f>$T$26</f>
        <v>0</v>
      </c>
      <c r="L19" s="220">
        <v>1</v>
      </c>
      <c r="M19" s="919">
        <f>Worksheet!$E$55</f>
        <v>0</v>
      </c>
      <c r="N19" s="920"/>
      <c r="O19" s="219">
        <f>$T$26</f>
        <v>0</v>
      </c>
      <c r="P19" s="221" t="str">
        <f>IF($W$29="Error",$W$11,$W$13)</f>
        <v> </v>
      </c>
      <c r="R19" s="1">
        <f>$M$12/20</f>
        <v>0</v>
      </c>
      <c r="S19" s="1">
        <f>IF($U$19&gt;2000,$S$11,IF($M$12&gt;2000,$S$11,$R$19))</f>
        <v>0</v>
      </c>
      <c r="T19" s="1">
        <f>$S$19</f>
        <v>0</v>
      </c>
      <c r="U19" s="47">
        <f>$E$12+$M$12+$M$19+E19+E29</f>
        <v>0</v>
      </c>
      <c r="W19" s="1" t="s">
        <v>648</v>
      </c>
      <c r="Y19" s="1">
        <f>IF($M$12&gt;2000,$S$11,$R$19)</f>
        <v>0</v>
      </c>
      <c r="AC19" s="44">
        <v>6001</v>
      </c>
      <c r="AD19" s="45">
        <v>30</v>
      </c>
      <c r="AF19" s="44">
        <v>501</v>
      </c>
      <c r="AG19" s="1">
        <v>30</v>
      </c>
    </row>
    <row r="20" spans="2:42" ht="19.5" customHeight="1">
      <c r="B20" s="213"/>
      <c r="C20" s="214">
        <f>T34</f>
        <v>0</v>
      </c>
      <c r="D20" s="601">
        <v>2</v>
      </c>
      <c r="E20" s="907"/>
      <c r="F20" s="908"/>
      <c r="G20" s="650">
        <f>T34</f>
        <v>0</v>
      </c>
      <c r="H20" s="216" t="str">
        <f>IF($W$36="Error",$W$12,$W$13)</f>
        <v> </v>
      </c>
      <c r="I20" s="42"/>
      <c r="J20" s="43"/>
      <c r="K20" s="218">
        <f>$T$27</f>
        <v>0</v>
      </c>
      <c r="L20" s="222">
        <v>2</v>
      </c>
      <c r="M20" s="919">
        <f>Worksheet!$F$55</f>
        <v>0</v>
      </c>
      <c r="N20" s="920"/>
      <c r="O20" s="219">
        <f>$T$27</f>
        <v>0</v>
      </c>
      <c r="P20" s="221" t="str">
        <f>IF($W$29="Error",$W$12,$W$13)</f>
        <v> </v>
      </c>
      <c r="R20" s="1">
        <f>$M$13/20</f>
        <v>0</v>
      </c>
      <c r="S20" s="1">
        <f>IF($U$20&gt;2000,$S$11,IF($M$13&gt;2000,$S$11,$R$20))</f>
        <v>0</v>
      </c>
      <c r="T20" s="1">
        <f>$S$20</f>
        <v>0</v>
      </c>
      <c r="U20" s="47">
        <f>$E$13+$M$13+$M$20+E20+E30</f>
        <v>0</v>
      </c>
      <c r="Y20" s="1">
        <f>IF($M$13&gt;2000,$S$11,$R$20)</f>
        <v>0</v>
      </c>
      <c r="AC20" s="44">
        <v>7001</v>
      </c>
      <c r="AD20" s="45">
        <v>35</v>
      </c>
      <c r="AF20" s="44">
        <v>601</v>
      </c>
      <c r="AG20" s="1">
        <v>35</v>
      </c>
      <c r="AO20" s="524" t="str">
        <f>IF($AN$11=2,IF($AO$18=0,$AO$12,"ERR"),IF($AN$11=3,IF($AO$14=0,$AO$13,"ERR"),IF($AN$11=4,$AO$14,"ERR")))</f>
        <v>ERR</v>
      </c>
      <c r="AP20" s="26"/>
    </row>
    <row r="21" spans="2:33" ht="19.5" customHeight="1">
      <c r="B21" s="213"/>
      <c r="C21" s="214">
        <f>T35</f>
        <v>0</v>
      </c>
      <c r="D21" s="600">
        <v>3</v>
      </c>
      <c r="E21" s="907"/>
      <c r="F21" s="908"/>
      <c r="G21" s="650">
        <f>T35</f>
        <v>0</v>
      </c>
      <c r="H21" s="597" t="s">
        <v>795</v>
      </c>
      <c r="I21" s="42"/>
      <c r="J21" s="213"/>
      <c r="K21" s="214">
        <f>$T$28</f>
        <v>0</v>
      </c>
      <c r="L21" s="220">
        <v>3</v>
      </c>
      <c r="M21" s="919">
        <f>Worksheet!$G$55</f>
        <v>0</v>
      </c>
      <c r="N21" s="920"/>
      <c r="O21" s="219">
        <f>$T$28</f>
        <v>0</v>
      </c>
      <c r="P21" s="223"/>
      <c r="R21" s="1">
        <f>$M$14/20</f>
        <v>0</v>
      </c>
      <c r="S21" s="1">
        <f>IF($U$21&gt;2000,$S$11,IF($M$14&gt;2000,$S$11,$R$21))</f>
        <v>0</v>
      </c>
      <c r="T21" s="1">
        <f>IF($M$14=0,$S$21,IF($AV$12="x",$S$21,IF($AU$12="x",$S$21,"Error")))</f>
        <v>0</v>
      </c>
      <c r="U21" s="47">
        <f>$E$14+$M$14+$M$21+E21+E31</f>
        <v>0</v>
      </c>
      <c r="Y21" s="1">
        <f>IF($M$14&gt;2000,$S$11,$R$21)</f>
        <v>0</v>
      </c>
      <c r="AC21" s="44">
        <v>8001</v>
      </c>
      <c r="AD21" s="45">
        <v>40</v>
      </c>
      <c r="AF21" s="44">
        <v>701</v>
      </c>
      <c r="AG21" s="1">
        <v>40</v>
      </c>
    </row>
    <row r="22" spans="1:33" ht="19.5" customHeight="1" thickBot="1">
      <c r="A22" s="137"/>
      <c r="B22" s="217"/>
      <c r="C22" s="214">
        <f>T36</f>
        <v>0</v>
      </c>
      <c r="D22" s="602">
        <v>4</v>
      </c>
      <c r="E22" s="907"/>
      <c r="F22" s="908"/>
      <c r="G22" s="650">
        <f>T36</f>
        <v>0</v>
      </c>
      <c r="H22" s="225">
        <f>V36</f>
        <v>0</v>
      </c>
      <c r="I22" s="26"/>
      <c r="J22" s="266"/>
      <c r="K22" s="267">
        <f>$T$29</f>
        <v>0</v>
      </c>
      <c r="L22" s="268">
        <v>4</v>
      </c>
      <c r="M22" s="917">
        <f>Worksheet!$H$55</f>
        <v>0</v>
      </c>
      <c r="N22" s="918"/>
      <c r="O22" s="269">
        <f>$T$29</f>
        <v>0</v>
      </c>
      <c r="P22" s="607" t="s">
        <v>795</v>
      </c>
      <c r="R22" s="1">
        <f>$M$15/20</f>
        <v>0</v>
      </c>
      <c r="S22" s="1">
        <f>IF($U$22&gt;2000,$S$11,IF($M$15&gt;2000,$S$11,$R$22))</f>
        <v>0</v>
      </c>
      <c r="T22" s="1">
        <f>IF($M$15=0,$S$22,IF($AV$12="x",$S$22,"Error"))</f>
        <v>0</v>
      </c>
      <c r="U22" s="47">
        <f>$E$15+$M$15+$M$22+E22+E32</f>
        <v>0</v>
      </c>
      <c r="V22" s="1">
        <f>IF($T$19=$S$11,$S$11,IF($T$20=$S$11,$S$11,IF($T$21=$S$11,$S$11,IF($T$22=$S$11,$S$11,$S$23))))</f>
        <v>0</v>
      </c>
      <c r="W22" s="1">
        <f>IF($S$19=$S$11,$S$11,IF($S$20=$S$11,$S$11,IF($S$21=$S$11,$S$11,IF($S$22=$S$11,$S$11,$S$23))))</f>
        <v>0</v>
      </c>
      <c r="Y22" s="1">
        <f>IF($M$15&gt;2000,$S$11,$R$22)</f>
        <v>0</v>
      </c>
      <c r="Z22" s="1">
        <f>IF(Y19=$S$11,$S$11,IF(Y20=$S$11,$S$11,IF(Y21=$S$11,$S$11,IF(Y22=$S$11,$S$11,W23))))</f>
        <v>0</v>
      </c>
      <c r="AA22" s="45">
        <f>(M12+M13+M14+M15)</f>
        <v>0</v>
      </c>
      <c r="AC22" s="44">
        <v>9001</v>
      </c>
      <c r="AD22" s="45">
        <v>45</v>
      </c>
      <c r="AF22" s="44">
        <v>801</v>
      </c>
      <c r="AG22" s="1">
        <v>45</v>
      </c>
    </row>
    <row r="23" spans="1:33" ht="19.5" customHeight="1" thickTop="1">
      <c r="A23" s="402"/>
      <c r="I23" s="290"/>
      <c r="J23" s="263"/>
      <c r="K23" s="264">
        <f>$T$30</f>
        <v>0</v>
      </c>
      <c r="L23" s="265" t="s">
        <v>898</v>
      </c>
      <c r="M23" s="925">
        <f>$W$27</f>
        <v>0</v>
      </c>
      <c r="N23" s="926"/>
      <c r="O23" s="927"/>
      <c r="P23" s="264">
        <f>$T$30</f>
        <v>0</v>
      </c>
      <c r="S23" s="1">
        <f>SUM($S$19:$S$22)</f>
        <v>0</v>
      </c>
      <c r="T23" s="1">
        <f>IF(T22="Error",T22,IF(T21="Error",T21,IF(T20="Error",T20,IF(T19="Error",T19,($T$19+$T$20+$T$21+$T$22)))))</f>
        <v>0</v>
      </c>
      <c r="AC23" s="44">
        <v>10001</v>
      </c>
      <c r="AD23" s="45">
        <v>50</v>
      </c>
      <c r="AF23" s="44">
        <v>901</v>
      </c>
      <c r="AG23" s="1">
        <v>50</v>
      </c>
    </row>
    <row r="24" spans="1:33" ht="13.5" customHeight="1">
      <c r="A24" s="292"/>
      <c r="I24" s="42"/>
      <c r="AC24" s="44">
        <v>11001</v>
      </c>
      <c r="AD24" s="45">
        <v>52</v>
      </c>
      <c r="AF24" s="44">
        <v>1001</v>
      </c>
      <c r="AG24" s="1">
        <v>55</v>
      </c>
    </row>
    <row r="25" spans="1:33" ht="12" customHeight="1">
      <c r="A25" s="608"/>
      <c r="G25" s="1" t="s">
        <v>589</v>
      </c>
      <c r="I25" s="42"/>
      <c r="R25" s="1" t="s">
        <v>1141</v>
      </c>
      <c r="S25" s="1" t="s">
        <v>644</v>
      </c>
      <c r="AC25" s="44">
        <v>12001</v>
      </c>
      <c r="AD25" s="45">
        <v>54</v>
      </c>
      <c r="AF25" s="44">
        <v>2001</v>
      </c>
      <c r="AG25" s="1">
        <v>60</v>
      </c>
    </row>
    <row r="26" spans="1:33" ht="19.5" customHeight="1">
      <c r="A26" s="366"/>
      <c r="B26" s="915" t="s">
        <v>1254</v>
      </c>
      <c r="C26" s="915"/>
      <c r="D26" s="915"/>
      <c r="E26" s="915"/>
      <c r="F26" s="915"/>
      <c r="G26" s="915"/>
      <c r="H26" s="915"/>
      <c r="I26" s="649"/>
      <c r="J26" s="916" t="s">
        <v>1483</v>
      </c>
      <c r="K26" s="916"/>
      <c r="L26" s="916"/>
      <c r="M26" s="916"/>
      <c r="N26" s="916"/>
      <c r="O26" s="916"/>
      <c r="P26" s="916"/>
      <c r="Q26" s="129">
        <f>Worksheet!$E$55</f>
        <v>0</v>
      </c>
      <c r="R26" s="1">
        <f>$M$19/20</f>
        <v>0</v>
      </c>
      <c r="S26" s="1">
        <f>IF($U$26&gt;2000,$S$11,IF($M$19&gt;2000,$S$11,$R$26))</f>
        <v>0</v>
      </c>
      <c r="T26" s="1">
        <f>$S$26</f>
        <v>0</v>
      </c>
      <c r="U26" s="47">
        <f>E12+M12+M19+E19+E29</f>
        <v>0</v>
      </c>
      <c r="W26" s="47">
        <f>M19+M20+M21+M22</f>
        <v>0</v>
      </c>
      <c r="X26" s="1">
        <f>IF((M19-0.01)&lt;Y26,0,10)</f>
        <v>0</v>
      </c>
      <c r="Y26" s="1">
        <f>Worksheet!$E$55</f>
        <v>0</v>
      </c>
      <c r="AC26" s="44">
        <v>13001</v>
      </c>
      <c r="AD26" s="45">
        <v>56</v>
      </c>
      <c r="AF26" s="44">
        <v>3001</v>
      </c>
      <c r="AG26" s="1">
        <v>65</v>
      </c>
    </row>
    <row r="27" spans="1:63" ht="19.5" customHeight="1">
      <c r="A27" s="366"/>
      <c r="B27" s="594" t="s">
        <v>584</v>
      </c>
      <c r="C27" s="595" t="s">
        <v>583</v>
      </c>
      <c r="D27" s="910" t="s">
        <v>642</v>
      </c>
      <c r="E27" s="910" t="s">
        <v>643</v>
      </c>
      <c r="F27" s="910"/>
      <c r="G27" s="911" t="s">
        <v>822</v>
      </c>
      <c r="H27" s="912" t="str">
        <f>IF(AW14=1,$U$8,$U$7)</f>
        <v> </v>
      </c>
      <c r="I27" s="212"/>
      <c r="J27" s="594" t="s">
        <v>584</v>
      </c>
      <c r="K27" s="595" t="s">
        <v>583</v>
      </c>
      <c r="L27" s="910" t="s">
        <v>642</v>
      </c>
      <c r="M27" s="910" t="s">
        <v>643</v>
      </c>
      <c r="N27" s="910"/>
      <c r="O27" s="930"/>
      <c r="P27" s="929" t="str">
        <f>IF(BE14=1,$U$8,$U$7)</f>
        <v> </v>
      </c>
      <c r="Q27" s="129">
        <f>Worksheet!$F$55</f>
        <v>0</v>
      </c>
      <c r="R27" s="1">
        <f>$M$20/20</f>
        <v>0</v>
      </c>
      <c r="S27" s="1">
        <f>IF($U$27&gt;2000,$S$11,IF($M$20&gt;2000,$S$11,$R$27))</f>
        <v>0</v>
      </c>
      <c r="T27" s="1">
        <f>$S$27</f>
        <v>0</v>
      </c>
      <c r="U27" s="47">
        <f>E13+M13+M20+E20+E30</f>
        <v>0</v>
      </c>
      <c r="W27" s="1">
        <f>IF(V29="Error",V29,IF(W29="Error",W29,W26))</f>
        <v>0</v>
      </c>
      <c r="X27" s="1">
        <f>IF((M20-0.01)&lt;Y27,0,10)</f>
        <v>0</v>
      </c>
      <c r="Y27" s="1">
        <f>Worksheet!$F$55</f>
        <v>0</v>
      </c>
      <c r="AC27" s="44">
        <v>14001</v>
      </c>
      <c r="AD27" s="45">
        <v>58</v>
      </c>
      <c r="AF27" s="44">
        <v>4001</v>
      </c>
      <c r="AG27" s="1">
        <v>70</v>
      </c>
      <c r="BK27" s="1" t="s">
        <v>1310</v>
      </c>
    </row>
    <row r="28" spans="1:63" ht="19.5" customHeight="1">
      <c r="A28" s="366"/>
      <c r="B28" s="598" t="s">
        <v>821</v>
      </c>
      <c r="C28" s="599" t="s">
        <v>821</v>
      </c>
      <c r="D28" s="910"/>
      <c r="E28" s="910"/>
      <c r="F28" s="910"/>
      <c r="G28" s="911"/>
      <c r="H28" s="912"/>
      <c r="I28" s="646"/>
      <c r="J28" s="598" t="s">
        <v>821</v>
      </c>
      <c r="K28" s="599" t="s">
        <v>821</v>
      </c>
      <c r="L28" s="910"/>
      <c r="M28" s="910"/>
      <c r="N28" s="910"/>
      <c r="O28" s="930"/>
      <c r="P28" s="929"/>
      <c r="Q28" s="129">
        <f>Worksheet!$G$55</f>
        <v>0</v>
      </c>
      <c r="R28" s="1">
        <f>$M$21/20</f>
        <v>0</v>
      </c>
      <c r="S28" s="1">
        <f>IF($U$28&gt;2000,$S$11,IF($M$21&gt;2000,$S$11,$R$28))</f>
        <v>0</v>
      </c>
      <c r="T28" s="1">
        <f>IF($M$21=0,$S$28,IF($AV$12="x",$S$28,IF($AU$12="x",$S$28,"Error")))</f>
        <v>0</v>
      </c>
      <c r="U28" s="47">
        <f>E14+M14+M21+E21+E31</f>
        <v>0</v>
      </c>
      <c r="X28" s="1">
        <f>IF((M21-0.01)&lt;Y28,0,10)</f>
        <v>0</v>
      </c>
      <c r="Y28" s="1">
        <f>Worksheet!$G$55</f>
        <v>0</v>
      </c>
      <c r="AC28" s="44">
        <v>15001</v>
      </c>
      <c r="AD28" s="45">
        <v>60</v>
      </c>
      <c r="AF28" s="44">
        <v>5001</v>
      </c>
      <c r="AG28" s="1">
        <v>75</v>
      </c>
      <c r="BK28" s="1" t="s">
        <v>1311</v>
      </c>
    </row>
    <row r="29" spans="1:63" ht="19.5" customHeight="1">
      <c r="A29" s="366"/>
      <c r="B29" s="213"/>
      <c r="C29" s="214">
        <f>T55</f>
        <v>0</v>
      </c>
      <c r="D29" s="600">
        <v>1</v>
      </c>
      <c r="E29" s="907"/>
      <c r="F29" s="908"/>
      <c r="G29" s="650">
        <f>T55</f>
        <v>0</v>
      </c>
      <c r="H29" s="215" t="str">
        <f>IF($W$15="Error",$W$11,$W$13)</f>
        <v> </v>
      </c>
      <c r="I29" s="649"/>
      <c r="J29" s="213"/>
      <c r="K29" s="214">
        <f>AB55</f>
        <v>0</v>
      </c>
      <c r="L29" s="600">
        <v>1</v>
      </c>
      <c r="M29" s="907">
        <f>'SAE 3'!D19</f>
        <v>0</v>
      </c>
      <c r="N29" s="908"/>
      <c r="O29" s="769"/>
      <c r="P29" s="215" t="str">
        <f>IF($W$15="Error",$W$11,$W$13)</f>
        <v> </v>
      </c>
      <c r="Q29" s="129">
        <f>Worksheet!$H$55</f>
        <v>0</v>
      </c>
      <c r="R29" s="1">
        <f>$M$22/20</f>
        <v>0</v>
      </c>
      <c r="S29" s="1">
        <f>IF($U$29&gt;2000,$S$11,IF($M$22&gt;2000,$S$11,$R$29))</f>
        <v>0</v>
      </c>
      <c r="T29" s="1">
        <f>IF($M$22=0,$S$29,IF($AV$12="x",$S$29,"Error"))</f>
        <v>0</v>
      </c>
      <c r="U29" s="47">
        <f>E15+M15+M22+E22+E32</f>
        <v>0</v>
      </c>
      <c r="V29" s="1">
        <f>IF(T26=$S$11,$S$11,IF(T27=$S$11,$S$11,IF(T28=$S$11,$S$11,IF(T29=$S$11,$S$11,S30))))</f>
        <v>0</v>
      </c>
      <c r="W29" s="1">
        <f>IF(S26=$S$11,$S$11,IF(S27=$S$11,$S$11,IF(S28=$S$11,$S$11,IF(S29=$S$11,$S$11,S30))))</f>
        <v>0</v>
      </c>
      <c r="X29" s="1">
        <f>IF((M22-0.01)&lt;Y29,0,10)</f>
        <v>0</v>
      </c>
      <c r="Y29" s="1">
        <f>Worksheet!$H$55</f>
        <v>0</v>
      </c>
      <c r="AC29" s="44">
        <v>16001</v>
      </c>
      <c r="AD29" s="45">
        <v>62</v>
      </c>
      <c r="AF29" s="44">
        <v>6001</v>
      </c>
      <c r="AG29" s="1">
        <v>80</v>
      </c>
      <c r="BK29" s="1" t="s">
        <v>1312</v>
      </c>
    </row>
    <row r="30" spans="1:63" ht="19.5" customHeight="1">
      <c r="A30" s="366"/>
      <c r="B30" s="213"/>
      <c r="C30" s="214">
        <f>T56</f>
        <v>0</v>
      </c>
      <c r="D30" s="601">
        <v>2</v>
      </c>
      <c r="E30" s="907"/>
      <c r="F30" s="908"/>
      <c r="G30" s="650">
        <f>T56</f>
        <v>0</v>
      </c>
      <c r="H30" s="216" t="str">
        <f>IF($W$15="Error",$W$12,$W$13)</f>
        <v> </v>
      </c>
      <c r="I30" s="649"/>
      <c r="J30" s="213"/>
      <c r="K30" s="214">
        <f>AB56</f>
        <v>0</v>
      </c>
      <c r="L30" s="601">
        <v>2</v>
      </c>
      <c r="M30" s="907">
        <f>'SAE 3'!D27</f>
        <v>0</v>
      </c>
      <c r="N30" s="908"/>
      <c r="O30" s="769"/>
      <c r="P30" s="216" t="str">
        <f>IF($W$15="Error",$W$12,$W$13)</f>
        <v> </v>
      </c>
      <c r="S30" s="1">
        <f>SUM($S$26:$S$29)</f>
        <v>0</v>
      </c>
      <c r="T30" s="1">
        <f>IF(T29="Error",T29,IF(T28="Error",T28,IF(T27="Error",T27,IF(T26="Error",T26,($T$26+$T$27+$T$28+$T$29)))))</f>
        <v>0</v>
      </c>
      <c r="X30" s="1">
        <f>SUM(X26:X29)</f>
        <v>0</v>
      </c>
      <c r="AC30" s="44">
        <v>17001</v>
      </c>
      <c r="AD30" s="45">
        <v>64</v>
      </c>
      <c r="AF30" s="44">
        <v>7001</v>
      </c>
      <c r="AG30" s="1">
        <v>85</v>
      </c>
      <c r="BK30" s="1" t="s">
        <v>1313</v>
      </c>
    </row>
    <row r="31" spans="1:63" ht="18">
      <c r="A31" s="366"/>
      <c r="B31" s="213"/>
      <c r="C31" s="214">
        <f>T57</f>
        <v>0</v>
      </c>
      <c r="D31" s="600">
        <v>3</v>
      </c>
      <c r="E31" s="907"/>
      <c r="F31" s="908"/>
      <c r="G31" s="650">
        <f>T57</f>
        <v>0</v>
      </c>
      <c r="H31" s="597" t="s">
        <v>795</v>
      </c>
      <c r="I31" s="649"/>
      <c r="J31" s="213"/>
      <c r="K31" s="214">
        <f>AB57</f>
        <v>0</v>
      </c>
      <c r="L31" s="600">
        <v>3</v>
      </c>
      <c r="M31" s="907">
        <f>'SAE 4'!D14</f>
        <v>0</v>
      </c>
      <c r="N31" s="908"/>
      <c r="O31" s="788"/>
      <c r="AC31" s="44">
        <v>18001</v>
      </c>
      <c r="AD31" s="45">
        <v>66</v>
      </c>
      <c r="AF31" s="44">
        <v>8001</v>
      </c>
      <c r="AG31" s="1">
        <v>90</v>
      </c>
      <c r="BK31" s="1" t="s">
        <v>1314</v>
      </c>
    </row>
    <row r="32" spans="1:63" ht="21.75" customHeight="1">
      <c r="A32" s="366"/>
      <c r="B32" s="217"/>
      <c r="C32" s="214">
        <f>T58</f>
        <v>0</v>
      </c>
      <c r="D32" s="602">
        <v>4</v>
      </c>
      <c r="E32" s="907"/>
      <c r="F32" s="908"/>
      <c r="G32" s="650">
        <f>T58</f>
        <v>0</v>
      </c>
      <c r="H32" s="225">
        <f>V58</f>
        <v>0</v>
      </c>
      <c r="I32" s="649"/>
      <c r="J32" s="217"/>
      <c r="K32" s="214">
        <f>AB58</f>
        <v>0</v>
      </c>
      <c r="L32" s="602">
        <v>4</v>
      </c>
      <c r="M32" s="907">
        <f>'SAE 4'!D22</f>
        <v>0</v>
      </c>
      <c r="N32" s="908"/>
      <c r="O32" s="789"/>
      <c r="R32" s="1" t="s">
        <v>1256</v>
      </c>
      <c r="AC32" s="44">
        <v>19001</v>
      </c>
      <c r="AD32" s="45">
        <v>68</v>
      </c>
      <c r="AF32" s="44">
        <v>9001</v>
      </c>
      <c r="AG32" s="1">
        <v>95</v>
      </c>
      <c r="BK32" s="1" t="s">
        <v>1316</v>
      </c>
    </row>
    <row r="33" spans="1:63" ht="21.75" customHeight="1">
      <c r="A33" s="366"/>
      <c r="B33" s="366"/>
      <c r="C33" s="366"/>
      <c r="D33" s="366"/>
      <c r="E33" s="366"/>
      <c r="F33" s="366"/>
      <c r="G33" s="366"/>
      <c r="H33" s="366"/>
      <c r="I33" s="649"/>
      <c r="J33" s="366"/>
      <c r="K33" s="366"/>
      <c r="L33" s="366"/>
      <c r="M33" s="366"/>
      <c r="N33" s="366"/>
      <c r="O33" s="366"/>
      <c r="P33" s="366"/>
      <c r="R33" s="1">
        <f>E19/15</f>
        <v>0</v>
      </c>
      <c r="S33" s="1">
        <f>IF(U33&gt;2000,S11,IF(E19&gt;2000,S11,R33))</f>
        <v>0</v>
      </c>
      <c r="T33" s="1">
        <f>S33</f>
        <v>0</v>
      </c>
      <c r="U33" s="325">
        <f>E12+M12+M19+E19+E29</f>
        <v>0</v>
      </c>
      <c r="AC33" s="44">
        <v>20001</v>
      </c>
      <c r="AD33" s="45">
        <v>70</v>
      </c>
      <c r="AF33" s="44">
        <v>10001</v>
      </c>
      <c r="AG33" s="1">
        <v>100</v>
      </c>
      <c r="BK33" s="1" t="s">
        <v>1315</v>
      </c>
    </row>
    <row r="34" spans="1:21" ht="21.75" customHeight="1">
      <c r="A34" s="366"/>
      <c r="B34" s="915" t="s">
        <v>1499</v>
      </c>
      <c r="C34" s="915"/>
      <c r="D34" s="915"/>
      <c r="E34" s="915"/>
      <c r="F34" s="915"/>
      <c r="G34" s="915"/>
      <c r="H34" s="915"/>
      <c r="I34" s="649"/>
      <c r="J34" s="366"/>
      <c r="K34" s="366"/>
      <c r="L34" s="366"/>
      <c r="M34" s="366"/>
      <c r="N34" s="366"/>
      <c r="O34" s="366"/>
      <c r="P34" s="366"/>
      <c r="R34" s="1">
        <f>E20/15</f>
        <v>0</v>
      </c>
      <c r="S34" s="1">
        <f>IF(U34&gt;2000,S11,IF(E20&gt;2000,S11,R34))</f>
        <v>0</v>
      </c>
      <c r="T34" s="1">
        <f>S34</f>
        <v>0</v>
      </c>
      <c r="U34" s="325">
        <f>E13+M13+M20+E20+E30</f>
        <v>0</v>
      </c>
    </row>
    <row r="35" spans="1:21" ht="21.75" customHeight="1">
      <c r="A35" s="366"/>
      <c r="B35" s="594" t="s">
        <v>584</v>
      </c>
      <c r="C35" s="595" t="s">
        <v>583</v>
      </c>
      <c r="D35" s="910" t="s">
        <v>642</v>
      </c>
      <c r="E35" s="910" t="s">
        <v>643</v>
      </c>
      <c r="F35" s="910"/>
      <c r="G35" s="911" t="s">
        <v>822</v>
      </c>
      <c r="H35" s="912" t="str">
        <f>IF(AW22=1,$U$8,$U$7)</f>
        <v> </v>
      </c>
      <c r="I35" s="649"/>
      <c r="J35" s="366"/>
      <c r="K35" s="366"/>
      <c r="L35" s="366"/>
      <c r="M35" s="366"/>
      <c r="N35" s="366"/>
      <c r="O35" s="366"/>
      <c r="P35" s="366"/>
      <c r="R35" s="1">
        <f>E21/15</f>
        <v>0</v>
      </c>
      <c r="S35" s="1">
        <f>IF(U35&gt;2000,S11,IF(E21&gt;2000,S11,R35))</f>
        <v>0</v>
      </c>
      <c r="T35" s="1">
        <f>IF(E21=0,S35,IF(AV12="x",S35,IF(AU12="x",S35,"Error")))</f>
        <v>0</v>
      </c>
      <c r="U35" s="325">
        <f>E14+M14+M21+E21+E31</f>
        <v>0</v>
      </c>
    </row>
    <row r="36" spans="1:23" ht="21.75" customHeight="1">
      <c r="A36" s="366"/>
      <c r="B36" s="598" t="s">
        <v>821</v>
      </c>
      <c r="C36" s="599" t="s">
        <v>821</v>
      </c>
      <c r="D36" s="910"/>
      <c r="E36" s="928"/>
      <c r="F36" s="928"/>
      <c r="G36" s="911"/>
      <c r="H36" s="912"/>
      <c r="I36" s="649"/>
      <c r="J36" s="366"/>
      <c r="K36" s="366"/>
      <c r="L36" s="366"/>
      <c r="M36" s="366"/>
      <c r="N36" s="366"/>
      <c r="O36" s="366"/>
      <c r="P36" s="366"/>
      <c r="R36" s="1">
        <f>E22/15</f>
        <v>0</v>
      </c>
      <c r="S36" s="1">
        <f>IF(U36&gt;2000,S11,IF(E22&gt;2000,S11,R36))</f>
        <v>0</v>
      </c>
      <c r="T36" s="1">
        <f>IF(E22=0,S36,IF(AV12="x",S36,"Error"))</f>
        <v>0</v>
      </c>
      <c r="U36" s="325">
        <f>E15+M15+M22+E22+E32</f>
        <v>0</v>
      </c>
      <c r="V36" s="1">
        <f>IF(T33=S11,S11,IF(T34=S11,S11,IF(T35=S11,S11,IF(T36=S11,S11,S37))))</f>
        <v>0</v>
      </c>
      <c r="W36" s="1">
        <f>IF(S33=S11,S11,IF(S34=S11,S11,IF(S35=S11,S11,IF(S36=S11,S11,S37))))</f>
        <v>0</v>
      </c>
    </row>
    <row r="37" spans="1:20" ht="21.75" customHeight="1">
      <c r="A37" s="366"/>
      <c r="B37" s="783"/>
      <c r="C37" s="785">
        <f>T63</f>
        <v>0</v>
      </c>
      <c r="D37" s="784">
        <v>1</v>
      </c>
      <c r="E37" s="931"/>
      <c r="F37" s="932"/>
      <c r="G37" s="790">
        <f>T63</f>
        <v>0</v>
      </c>
      <c r="H37" s="215" t="str">
        <f>IF($W$15="Error",$W$11,$W$13)</f>
        <v> </v>
      </c>
      <c r="I37" s="649"/>
      <c r="J37" s="366"/>
      <c r="K37" s="366"/>
      <c r="L37" s="366"/>
      <c r="M37" s="366"/>
      <c r="N37" s="366"/>
      <c r="O37" s="366"/>
      <c r="P37" s="366"/>
      <c r="S37" s="1">
        <f>SUM(S33:S36)</f>
        <v>0</v>
      </c>
      <c r="T37" s="1">
        <f>IF(T36="Error",T36,IF(T35="Error",T35,IF(T34="error",T34,IF(T33="error",T33,(T33+T34+T35+T36)))))</f>
        <v>0</v>
      </c>
    </row>
    <row r="38" spans="1:21" ht="21.75" customHeight="1">
      <c r="A38" s="366"/>
      <c r="B38" s="783"/>
      <c r="C38" s="785">
        <f>T64</f>
        <v>0</v>
      </c>
      <c r="D38" s="784">
        <v>2</v>
      </c>
      <c r="E38" s="931"/>
      <c r="F38" s="933"/>
      <c r="G38" s="791">
        <f>T64</f>
        <v>0</v>
      </c>
      <c r="H38" s="216" t="str">
        <f>IF($W$15="Error",$W$12,$W$13)</f>
        <v> </v>
      </c>
      <c r="I38" s="649"/>
      <c r="J38" s="366"/>
      <c r="K38" s="366"/>
      <c r="L38" s="366"/>
      <c r="M38" s="366"/>
      <c r="N38" s="366"/>
      <c r="O38" s="366"/>
      <c r="P38" s="366"/>
      <c r="U38" s="325"/>
    </row>
    <row r="39" spans="1:21" ht="21.75" customHeight="1">
      <c r="A39" s="366"/>
      <c r="B39" s="783"/>
      <c r="C39" s="785">
        <f>T65</f>
        <v>0</v>
      </c>
      <c r="D39" s="784">
        <v>3</v>
      </c>
      <c r="E39" s="931"/>
      <c r="F39" s="933"/>
      <c r="G39" s="794">
        <f>T65</f>
        <v>0</v>
      </c>
      <c r="H39" s="597" t="s">
        <v>795</v>
      </c>
      <c r="I39" s="649"/>
      <c r="J39" s="366"/>
      <c r="K39" s="366"/>
      <c r="L39" s="366"/>
      <c r="M39" s="366"/>
      <c r="N39" s="366"/>
      <c r="O39" s="366"/>
      <c r="P39" s="366"/>
      <c r="U39" s="325"/>
    </row>
    <row r="40" spans="1:21" ht="21.75" customHeight="1">
      <c r="A40" s="366"/>
      <c r="B40" s="783"/>
      <c r="C40" s="785">
        <f>T66</f>
        <v>0</v>
      </c>
      <c r="D40" s="784">
        <v>4</v>
      </c>
      <c r="E40" s="931"/>
      <c r="F40" s="933"/>
      <c r="G40" s="786">
        <f>T66</f>
        <v>0</v>
      </c>
      <c r="H40" s="785">
        <f>V66</f>
        <v>0</v>
      </c>
      <c r="I40" s="649"/>
      <c r="J40" s="366"/>
      <c r="K40" s="366"/>
      <c r="L40" s="366"/>
      <c r="M40" s="366"/>
      <c r="N40" s="366"/>
      <c r="O40" s="366"/>
      <c r="P40" s="366"/>
      <c r="U40" s="325"/>
    </row>
    <row r="41" spans="1:21" ht="21.75" customHeight="1">
      <c r="A41" s="366"/>
      <c r="B41" s="366"/>
      <c r="C41" s="366"/>
      <c r="D41" s="366"/>
      <c r="E41" s="366"/>
      <c r="F41" s="366"/>
      <c r="G41" s="366"/>
      <c r="H41" s="366"/>
      <c r="I41" s="649"/>
      <c r="J41" s="366"/>
      <c r="K41" s="366"/>
      <c r="L41" s="366"/>
      <c r="M41" s="366"/>
      <c r="N41" s="366"/>
      <c r="O41" s="366"/>
      <c r="P41" s="366"/>
      <c r="U41" s="325"/>
    </row>
    <row r="42" spans="9:33" ht="21.75" customHeight="1">
      <c r="I42" s="42"/>
      <c r="AC42" s="44">
        <v>22001</v>
      </c>
      <c r="AD42" s="45">
        <v>72</v>
      </c>
      <c r="AF42" s="44">
        <v>11001</v>
      </c>
      <c r="AG42" s="1">
        <v>105</v>
      </c>
    </row>
    <row r="43" spans="1:33" ht="21.75" customHeight="1">
      <c r="A43" s="645"/>
      <c r="B43" s="896" t="s">
        <v>1203</v>
      </c>
      <c r="C43" s="896"/>
      <c r="D43" s="896"/>
      <c r="E43" s="896"/>
      <c r="F43" s="896"/>
      <c r="G43" s="896"/>
      <c r="H43" s="896"/>
      <c r="I43" s="648"/>
      <c r="J43" s="896" t="s">
        <v>1204</v>
      </c>
      <c r="K43" s="896"/>
      <c r="L43" s="896"/>
      <c r="M43" s="896"/>
      <c r="N43" s="896"/>
      <c r="O43" s="896"/>
      <c r="P43" s="896"/>
      <c r="AC43" s="44">
        <v>24001</v>
      </c>
      <c r="AD43" s="45">
        <v>74</v>
      </c>
      <c r="AF43" s="44">
        <v>12001</v>
      </c>
      <c r="AG43" s="1">
        <v>110</v>
      </c>
    </row>
    <row r="44" spans="1:33" ht="15" customHeight="1">
      <c r="A44" s="366"/>
      <c r="B44" s="13"/>
      <c r="C44" s="15"/>
      <c r="D44" s="596" t="s">
        <v>642</v>
      </c>
      <c r="E44" s="609" t="s">
        <v>650</v>
      </c>
      <c r="F44" s="610"/>
      <c r="G44" s="611"/>
      <c r="H44" s="236"/>
      <c r="I44" s="646"/>
      <c r="AC44" s="44">
        <v>26001</v>
      </c>
      <c r="AD44" s="45">
        <v>76</v>
      </c>
      <c r="AF44" s="44">
        <v>13001</v>
      </c>
      <c r="AG44" s="1">
        <v>115</v>
      </c>
    </row>
    <row r="45" spans="1:33" ht="24" customHeight="1">
      <c r="A45" s="647"/>
      <c r="B45" s="13"/>
      <c r="C45" s="15"/>
      <c r="D45" s="600">
        <v>1</v>
      </c>
      <c r="E45" s="887">
        <f>+Worksheet!$E$38</f>
        <v>0</v>
      </c>
      <c r="F45" s="888"/>
      <c r="G45" s="889"/>
      <c r="H45" s="236"/>
      <c r="I45" s="763"/>
      <c r="J45" s="15"/>
      <c r="K45" s="13"/>
      <c r="L45" s="612" t="s">
        <v>651</v>
      </c>
      <c r="M45" s="897">
        <f>IF($R$48&gt;0,$R$48,IF($R$49&gt;0,$R$49,IF($R$50&gt;0,$R$50,0)))</f>
        <v>0</v>
      </c>
      <c r="N45" s="898"/>
      <c r="O45" s="899"/>
      <c r="P45" s="236"/>
      <c r="Q45" s="398"/>
      <c r="AC45" s="44">
        <v>28001</v>
      </c>
      <c r="AD45" s="45">
        <v>78</v>
      </c>
      <c r="AF45" s="44">
        <v>14001</v>
      </c>
      <c r="AG45" s="1">
        <v>120</v>
      </c>
    </row>
    <row r="46" spans="1:33" ht="24" customHeight="1">
      <c r="A46" s="647"/>
      <c r="B46" s="13"/>
      <c r="C46" s="13"/>
      <c r="D46" s="601">
        <v>2</v>
      </c>
      <c r="E46" s="887">
        <f>+Worksheet!$F$38</f>
        <v>0</v>
      </c>
      <c r="F46" s="888"/>
      <c r="G46" s="889"/>
      <c r="H46" s="236"/>
      <c r="I46" s="763"/>
      <c r="J46" s="224" t="str">
        <f>IF($E$49&gt;=$M$49,$U$50,$U$48)</f>
        <v> </v>
      </c>
      <c r="K46" s="613"/>
      <c r="L46" s="614"/>
      <c r="M46" s="614"/>
      <c r="N46" s="614"/>
      <c r="O46" s="614"/>
      <c r="P46" s="614"/>
      <c r="Q46" s="398"/>
      <c r="AC46" s="44">
        <v>30001</v>
      </c>
      <c r="AD46" s="45">
        <v>80</v>
      </c>
      <c r="AF46" s="44">
        <v>15001</v>
      </c>
      <c r="AG46" s="1">
        <v>125</v>
      </c>
    </row>
    <row r="47" spans="1:33" ht="24" customHeight="1">
      <c r="A47" s="647"/>
      <c r="B47" s="226"/>
      <c r="C47" s="13"/>
      <c r="D47" s="600">
        <v>3</v>
      </c>
      <c r="E47" s="887">
        <f>+Worksheet!$G$38</f>
        <v>0</v>
      </c>
      <c r="F47" s="888"/>
      <c r="G47" s="889"/>
      <c r="H47" s="236"/>
      <c r="I47" s="763"/>
      <c r="J47" s="900" t="s">
        <v>1205</v>
      </c>
      <c r="K47" s="900"/>
      <c r="L47" s="900"/>
      <c r="M47" s="900"/>
      <c r="N47" s="900"/>
      <c r="O47" s="900"/>
      <c r="P47" s="900"/>
      <c r="Q47" s="398"/>
      <c r="R47" s="48"/>
      <c r="AC47" s="44">
        <v>32001</v>
      </c>
      <c r="AD47" s="45">
        <v>82</v>
      </c>
      <c r="AF47" s="44">
        <v>16001</v>
      </c>
      <c r="AG47" s="1">
        <v>130</v>
      </c>
    </row>
    <row r="48" spans="1:33" ht="24" customHeight="1" thickBot="1">
      <c r="A48" s="647"/>
      <c r="B48" s="615" t="s">
        <v>796</v>
      </c>
      <c r="C48" s="616" t="s">
        <v>625</v>
      </c>
      <c r="D48" s="617">
        <v>4</v>
      </c>
      <c r="E48" s="890">
        <f>+Worksheet!$H$38</f>
        <v>0</v>
      </c>
      <c r="F48" s="891"/>
      <c r="G48" s="892"/>
      <c r="H48" s="607" t="s">
        <v>795</v>
      </c>
      <c r="I48" s="763"/>
      <c r="J48" s="615" t="s">
        <v>796</v>
      </c>
      <c r="K48" s="616" t="s">
        <v>625</v>
      </c>
      <c r="L48" s="618" t="s">
        <v>902</v>
      </c>
      <c r="M48" s="901">
        <f>+Worksheet!$E$36</f>
        <v>0</v>
      </c>
      <c r="N48" s="902"/>
      <c r="O48" s="903"/>
      <c r="P48" s="607" t="s">
        <v>795</v>
      </c>
      <c r="Q48" s="398"/>
      <c r="R48" s="44">
        <f>+Worksheet!$H$35</f>
        <v>0</v>
      </c>
      <c r="S48" s="1" t="s">
        <v>622</v>
      </c>
      <c r="U48" s="1" t="s">
        <v>652</v>
      </c>
      <c r="AC48" s="44">
        <v>34001</v>
      </c>
      <c r="AD48" s="45">
        <v>84</v>
      </c>
      <c r="AF48" s="44">
        <v>17001</v>
      </c>
      <c r="AG48" s="1">
        <v>135</v>
      </c>
    </row>
    <row r="49" spans="1:33" ht="24" customHeight="1" thickTop="1">
      <c r="A49" s="647"/>
      <c r="B49" s="263"/>
      <c r="C49" s="270">
        <f>LOOKUP($E$49,$AC$12:$AC$57,$AD$12:$AD$57)</f>
        <v>0</v>
      </c>
      <c r="D49" s="265" t="s">
        <v>898</v>
      </c>
      <c r="E49" s="893">
        <f>SUM($E$45:$E$48)</f>
        <v>0</v>
      </c>
      <c r="F49" s="894"/>
      <c r="G49" s="895"/>
      <c r="H49" s="271">
        <f>LOOKUP($E$49,$AC$12:$AC$57,$AD$12:$AD$57)</f>
        <v>0</v>
      </c>
      <c r="I49" s="763"/>
      <c r="J49" s="272"/>
      <c r="K49" s="270">
        <f>IF($M$49&lt;$E$49,LOOKUP($M$49,$AF$12:$AF$65,$AG$12:$AG$65),LOOKUP($E$49,$AF$12:$AF$65,$AG$12:$AG$65))</f>
        <v>0</v>
      </c>
      <c r="L49" s="265" t="s">
        <v>899</v>
      </c>
      <c r="M49" s="904">
        <f>($M$45-$M$48)</f>
        <v>0</v>
      </c>
      <c r="N49" s="905"/>
      <c r="O49" s="906"/>
      <c r="P49" s="273">
        <f>IF($M$49&lt;$E$49,LOOKUP($M$49,$AF$12:$AF$65,$AG$12:$AG$65),LOOKUP($E$49,$AF$12:$AF$65,$AG$12:$AG$65))</f>
        <v>0</v>
      </c>
      <c r="Q49" s="398"/>
      <c r="R49" s="44">
        <f>+Worksheet!$G$35</f>
        <v>0</v>
      </c>
      <c r="S49" s="1" t="s">
        <v>621</v>
      </c>
      <c r="U49" s="1" t="str">
        <f>IF($D$32&gt;=$L$32,$U$50,$U$48)</f>
        <v> </v>
      </c>
      <c r="AC49" s="44">
        <v>36001</v>
      </c>
      <c r="AD49" s="45">
        <v>86</v>
      </c>
      <c r="AF49" s="44">
        <v>18001</v>
      </c>
      <c r="AG49" s="1">
        <v>140</v>
      </c>
    </row>
    <row r="50" spans="9:33" ht="25.5" customHeight="1">
      <c r="I50" s="42"/>
      <c r="R50" s="44">
        <f>Worksheet!$F$35</f>
        <v>0</v>
      </c>
      <c r="S50" s="1" t="s">
        <v>620</v>
      </c>
      <c r="U50" s="1" t="s">
        <v>589</v>
      </c>
      <c r="AC50" s="44">
        <v>38001</v>
      </c>
      <c r="AD50" s="45">
        <v>88</v>
      </c>
      <c r="AF50" s="44">
        <v>19001</v>
      </c>
      <c r="AG50" s="1">
        <v>145</v>
      </c>
    </row>
    <row r="51" spans="8:33" ht="19.5" customHeight="1">
      <c r="H51" s="534"/>
      <c r="I51" s="914">
        <f ca="1">NOW()</f>
        <v>45188.54951967593</v>
      </c>
      <c r="J51" s="914"/>
      <c r="K51" s="914"/>
      <c r="L51" s="26"/>
      <c r="M51" s="26"/>
      <c r="N51" s="26"/>
      <c r="S51" s="1">
        <f>IF(U51&gt;2000,S21,IF(E29&gt;2000,S21,R51))</f>
        <v>0</v>
      </c>
      <c r="T51" s="1">
        <f>S51</f>
        <v>0</v>
      </c>
      <c r="U51" s="47">
        <f>E12+M12+M19+E19+E29</f>
        <v>0</v>
      </c>
      <c r="AC51" s="44">
        <v>40001</v>
      </c>
      <c r="AD51" s="45">
        <v>90</v>
      </c>
      <c r="AF51" s="44">
        <v>20001</v>
      </c>
      <c r="AG51" s="1">
        <v>150</v>
      </c>
    </row>
    <row r="52" spans="1:33" ht="23.25" customHeight="1">
      <c r="A52" s="757" t="str">
        <f>Cover!$B$56</f>
        <v>MO FFA 2022-2025 Application-October 2022</v>
      </c>
      <c r="B52" s="527"/>
      <c r="C52" s="227"/>
      <c r="D52" s="227"/>
      <c r="E52" s="528"/>
      <c r="F52" s="227"/>
      <c r="G52" s="228"/>
      <c r="H52" s="688"/>
      <c r="I52" s="228"/>
      <c r="J52" s="913" t="s">
        <v>1365</v>
      </c>
      <c r="K52" s="913"/>
      <c r="L52" s="913"/>
      <c r="M52" s="228"/>
      <c r="N52" s="529"/>
      <c r="O52" s="530"/>
      <c r="P52" s="761">
        <f>Cover!$M$56</f>
        <v>0</v>
      </c>
      <c r="R52" s="44"/>
      <c r="AC52" s="44">
        <v>42001</v>
      </c>
      <c r="AD52" s="45">
        <v>92</v>
      </c>
      <c r="AF52" s="44">
        <v>22001</v>
      </c>
      <c r="AG52" s="1">
        <v>155</v>
      </c>
    </row>
    <row r="53" spans="1:33" ht="24" customHeight="1">
      <c r="A53" s="531"/>
      <c r="B53" s="50"/>
      <c r="C53" s="50"/>
      <c r="D53" s="50"/>
      <c r="E53" s="50"/>
      <c r="F53" s="50"/>
      <c r="G53" s="50"/>
      <c r="H53" s="50"/>
      <c r="I53" s="50"/>
      <c r="J53" s="50"/>
      <c r="K53" s="50"/>
      <c r="L53" s="50"/>
      <c r="M53" s="50"/>
      <c r="N53" s="50"/>
      <c r="O53" s="50"/>
      <c r="P53" s="50"/>
      <c r="AC53" s="44">
        <v>44001</v>
      </c>
      <c r="AD53" s="45">
        <v>94</v>
      </c>
      <c r="AF53" s="44">
        <v>24001</v>
      </c>
      <c r="AG53" s="1">
        <v>160</v>
      </c>
    </row>
    <row r="54" spans="2:33" ht="24" customHeight="1">
      <c r="B54" s="50"/>
      <c r="C54" s="532"/>
      <c r="D54" s="532"/>
      <c r="E54" s="532"/>
      <c r="F54" s="533"/>
      <c r="G54" s="16"/>
      <c r="H54" s="16"/>
      <c r="I54" s="16"/>
      <c r="J54" s="16"/>
      <c r="K54" s="16"/>
      <c r="L54" s="16"/>
      <c r="M54" s="16"/>
      <c r="N54" s="16"/>
      <c r="O54" s="16"/>
      <c r="P54" s="16" t="s">
        <v>589</v>
      </c>
      <c r="R54" s="1" t="s">
        <v>1257</v>
      </c>
      <c r="AC54" s="44">
        <v>46001</v>
      </c>
      <c r="AD54" s="45">
        <v>96</v>
      </c>
      <c r="AF54" s="44">
        <v>26001</v>
      </c>
      <c r="AG54" s="1">
        <v>165</v>
      </c>
    </row>
    <row r="55" spans="14:33" ht="12.75" hidden="1">
      <c r="N55" s="405"/>
      <c r="O55" s="405"/>
      <c r="P55" s="405"/>
      <c r="R55" s="1">
        <f>E29/5</f>
        <v>0</v>
      </c>
      <c r="S55" s="1">
        <f>IF(U55&gt;2000,$S$11,IF(E29&gt;2000,$S$11,R55))</f>
        <v>0</v>
      </c>
      <c r="T55" s="1">
        <f>S55</f>
        <v>0</v>
      </c>
      <c r="U55" s="47">
        <f>E12+M12+M19+E19+E29</f>
        <v>0</v>
      </c>
      <c r="AC55" s="44">
        <v>48001</v>
      </c>
      <c r="AD55" s="45">
        <v>98</v>
      </c>
      <c r="AF55" s="44">
        <v>28001</v>
      </c>
      <c r="AG55" s="1">
        <v>170</v>
      </c>
    </row>
    <row r="56" spans="18:33" ht="12.75" hidden="1">
      <c r="R56" s="1">
        <f>E30/5</f>
        <v>0</v>
      </c>
      <c r="S56" s="1">
        <f>IF(U56&gt;2000,$S$11,IF(E30&gt;2000,$S$11,R56))</f>
        <v>0</v>
      </c>
      <c r="T56" s="1">
        <f>S56</f>
        <v>0</v>
      </c>
      <c r="U56" s="47">
        <f>E13+M13+M20+E20+E30</f>
        <v>0</v>
      </c>
      <c r="AC56" s="44">
        <v>50001</v>
      </c>
      <c r="AD56" s="45">
        <v>100</v>
      </c>
      <c r="AF56" s="44">
        <v>30001</v>
      </c>
      <c r="AG56" s="1">
        <v>175</v>
      </c>
    </row>
    <row r="57" spans="18:33" ht="12.75" hidden="1">
      <c r="R57" s="1">
        <f>E31/5</f>
        <v>0</v>
      </c>
      <c r="S57" s="1">
        <f>IF(U57&gt;2000,$S$11,IF(E31&gt;2000,$S$11,R57))</f>
        <v>0</v>
      </c>
      <c r="T57" s="1">
        <f>IF(E31=0,S57,IF($AV$12="x",S57,IF($AU$12="x",S57,"Error")))</f>
        <v>0</v>
      </c>
      <c r="U57" s="47">
        <f>E14+M14+M21+E21+E31</f>
        <v>0</v>
      </c>
      <c r="AC57" s="44">
        <v>2000000</v>
      </c>
      <c r="AD57" s="45">
        <v>100</v>
      </c>
      <c r="AF57" s="44">
        <v>32001</v>
      </c>
      <c r="AG57" s="1">
        <v>180</v>
      </c>
    </row>
    <row r="58" spans="18:33" ht="15" hidden="1">
      <c r="R58" s="1">
        <f>E32/5</f>
        <v>0</v>
      </c>
      <c r="S58" s="1">
        <f>IF(U58&gt;2000,$S$11,IF(E32&gt;2000,$S$11,R58))</f>
        <v>0</v>
      </c>
      <c r="T58" s="1">
        <f>IF(E32=0,S58,IF($AV$12="x",S58,"Error"))</f>
        <v>0</v>
      </c>
      <c r="U58" s="47">
        <f>E15+M15+M22+E22+E32</f>
        <v>0</v>
      </c>
      <c r="V58" s="652">
        <f>IF(T55=S11,S11,IF(T56=S11,S11,IF(T57=S11,S11,IF(T58=S11,S11,S59))))</f>
        <v>0</v>
      </c>
      <c r="W58" s="1">
        <f>IF(S55=S25,S25,IF(S56=S25,S25,IF(S57=S25,S25,IF(S58=S25,S25,S59))))</f>
        <v>0</v>
      </c>
      <c r="AF58" s="44">
        <v>34001</v>
      </c>
      <c r="AG58" s="1">
        <v>185</v>
      </c>
    </row>
    <row r="59" spans="19:33" ht="12.75" hidden="1">
      <c r="S59" s="1">
        <f>SUM(S55:S58)</f>
        <v>0</v>
      </c>
      <c r="T59" s="1">
        <f>IF(T58="Error",T58,IF(T57="Error",T57,IF(T56="error",T56,IF(T55="error",T55,(T55+T56+T57+T58)))))</f>
        <v>0</v>
      </c>
      <c r="AF59" s="44">
        <v>36001</v>
      </c>
      <c r="AG59" s="1">
        <v>190</v>
      </c>
    </row>
    <row r="60" spans="32:33" ht="12.75" hidden="1">
      <c r="AF60" s="44">
        <v>38001</v>
      </c>
      <c r="AG60" s="1">
        <v>195</v>
      </c>
    </row>
    <row r="61" spans="32:33" ht="12.75" hidden="1">
      <c r="AF61" s="44">
        <v>40001</v>
      </c>
      <c r="AG61" s="1">
        <v>200</v>
      </c>
    </row>
    <row r="62" spans="18:33" ht="12.75" hidden="1">
      <c r="R62" s="1" t="s">
        <v>1485</v>
      </c>
      <c r="AF62" s="44">
        <v>500000</v>
      </c>
      <c r="AG62" s="1">
        <v>200</v>
      </c>
    </row>
    <row r="63" spans="18:21" ht="12.75" hidden="1">
      <c r="R63" s="1">
        <f>E37/5</f>
        <v>0</v>
      </c>
      <c r="S63" s="1">
        <f>IF(U63&gt;2000,$S$11,IF(E37&gt;2000,$S$11,R63))</f>
        <v>0</v>
      </c>
      <c r="T63" s="1">
        <f>S63</f>
        <v>0</v>
      </c>
      <c r="U63" s="47">
        <f>E12+M12+M19+E19+E29</f>
        <v>0</v>
      </c>
    </row>
    <row r="64" spans="4:21" ht="20.25" hidden="1">
      <c r="D64" s="376">
        <v>1</v>
      </c>
      <c r="E64" s="399" t="s">
        <v>585</v>
      </c>
      <c r="R64" s="1">
        <f>E38/5</f>
        <v>0</v>
      </c>
      <c r="S64" s="1">
        <f>IF(U64&gt;2000,$S$11,IF(E38&gt;2000,$S$11,R64))</f>
        <v>0</v>
      </c>
      <c r="T64" s="1">
        <f>S64</f>
        <v>0</v>
      </c>
      <c r="U64" s="47">
        <f>E13+M13+M20+E20+E30</f>
        <v>0</v>
      </c>
    </row>
    <row r="65" spans="4:21" ht="15" hidden="1">
      <c r="D65" s="376">
        <v>2</v>
      </c>
      <c r="E65" s="400" t="s">
        <v>832</v>
      </c>
      <c r="R65" s="1">
        <f>E39/5</f>
        <v>0</v>
      </c>
      <c r="S65" s="1">
        <f>IF(U65&gt;2000,$S$11,IF(E39&gt;2000,$S$11,R65))</f>
        <v>0</v>
      </c>
      <c r="T65" s="1">
        <f>IF(E39=0,S65,IF($AV$12="x",S65,IF($AU$12="x",S65,"Error")))</f>
        <v>0</v>
      </c>
      <c r="U65" s="47">
        <f>E14+M14+M21+E21+E31</f>
        <v>0</v>
      </c>
    </row>
    <row r="66" spans="4:23" ht="15" hidden="1">
      <c r="D66" s="376">
        <v>3</v>
      </c>
      <c r="E66" s="400" t="s">
        <v>833</v>
      </c>
      <c r="R66" s="1">
        <f>E40/5</f>
        <v>0</v>
      </c>
      <c r="S66" s="1">
        <f>IF(U66&gt;2000,$S$11,IF(E40&gt;2000,$S$11,R66))</f>
        <v>0</v>
      </c>
      <c r="T66" s="1">
        <f>IF(E40=0,S66,IF($AV$12="x",S66,"Error"))</f>
        <v>0</v>
      </c>
      <c r="U66" s="47">
        <f>E15+M15+M22+E22+E32</f>
        <v>0</v>
      </c>
      <c r="V66" s="652">
        <f>IF(T63=S11,S11,IF(T64=S11,S11,IF(T65=S11,S11,IF(T66=S11,S11,S67))))</f>
        <v>0</v>
      </c>
      <c r="W66" s="1">
        <f>IF(S63=S25,S25,IF(S64=S25,S25,IF(S65=S25,S25,IF(S66=S25,S25,S67))))</f>
        <v>0</v>
      </c>
    </row>
    <row r="67" spans="4:22" ht="15" hidden="1">
      <c r="D67" s="376">
        <v>4</v>
      </c>
      <c r="E67" s="400" t="s">
        <v>831</v>
      </c>
      <c r="S67" s="1">
        <f>SUM(S63:S66)</f>
        <v>0</v>
      </c>
      <c r="T67" s="1">
        <f>IF(T66="Error",T66,IF(T65="Error",T65,IF(T64="error",T64,IF(T63="error",T63,(T63+T64+T65+T66)))))</f>
        <v>0</v>
      </c>
      <c r="V67" s="652"/>
    </row>
    <row r="68" spans="4:5" ht="15" hidden="1">
      <c r="D68" s="376">
        <v>5</v>
      </c>
      <c r="E68" s="400" t="s">
        <v>834</v>
      </c>
    </row>
    <row r="69" spans="4:5" ht="15" hidden="1">
      <c r="D69" s="376">
        <v>6</v>
      </c>
      <c r="E69" s="400" t="s">
        <v>966</v>
      </c>
    </row>
    <row r="70" spans="4:5" ht="15" hidden="1">
      <c r="D70" s="376">
        <v>7</v>
      </c>
      <c r="E70" s="400" t="s">
        <v>835</v>
      </c>
    </row>
    <row r="71" spans="4:5" ht="15" hidden="1">
      <c r="D71" s="376">
        <v>8</v>
      </c>
      <c r="E71" s="400" t="s">
        <v>836</v>
      </c>
    </row>
    <row r="72" spans="4:5" ht="15" hidden="1">
      <c r="D72" s="376">
        <v>9</v>
      </c>
      <c r="E72" s="400" t="s">
        <v>837</v>
      </c>
    </row>
    <row r="73" spans="4:5" ht="15" hidden="1">
      <c r="D73" s="376">
        <v>10</v>
      </c>
      <c r="E73" s="400" t="s">
        <v>965</v>
      </c>
    </row>
    <row r="74" spans="4:5" ht="15" hidden="1">
      <c r="D74" s="376">
        <v>11</v>
      </c>
      <c r="E74" s="400" t="s">
        <v>838</v>
      </c>
    </row>
    <row r="75" spans="4:5" ht="15" hidden="1">
      <c r="D75" s="376">
        <v>12</v>
      </c>
      <c r="E75" s="401" t="s">
        <v>1243</v>
      </c>
    </row>
    <row r="76" spans="4:5" ht="15" hidden="1">
      <c r="D76" s="376">
        <v>13</v>
      </c>
      <c r="E76" s="400" t="s">
        <v>841</v>
      </c>
    </row>
    <row r="77" spans="4:5" ht="15" hidden="1">
      <c r="D77" s="376">
        <v>14</v>
      </c>
      <c r="E77" s="400" t="s">
        <v>839</v>
      </c>
    </row>
    <row r="78" spans="4:5" ht="15" hidden="1">
      <c r="D78" s="376">
        <v>15</v>
      </c>
      <c r="E78" s="400" t="s">
        <v>840</v>
      </c>
    </row>
    <row r="79" spans="4:5" ht="15" hidden="1">
      <c r="D79" s="376">
        <v>16</v>
      </c>
      <c r="E79" s="400" t="s">
        <v>844</v>
      </c>
    </row>
    <row r="80" spans="4:5" ht="15" hidden="1">
      <c r="D80" s="376">
        <v>17</v>
      </c>
      <c r="E80" s="400" t="s">
        <v>842</v>
      </c>
    </row>
    <row r="81" spans="4:5" ht="15" hidden="1">
      <c r="D81" s="376">
        <v>18</v>
      </c>
      <c r="E81" s="400" t="s">
        <v>939</v>
      </c>
    </row>
    <row r="82" spans="4:5" ht="15" hidden="1">
      <c r="D82" s="376">
        <v>19</v>
      </c>
      <c r="E82" s="400" t="s">
        <v>843</v>
      </c>
    </row>
    <row r="83" spans="4:5" ht="15" hidden="1">
      <c r="D83" s="376">
        <v>20</v>
      </c>
      <c r="E83" s="400" t="s">
        <v>845</v>
      </c>
    </row>
    <row r="84" spans="4:5" ht="15" hidden="1">
      <c r="D84" s="376">
        <v>21</v>
      </c>
      <c r="E84" s="400" t="s">
        <v>846</v>
      </c>
    </row>
    <row r="85" spans="4:5" ht="15" hidden="1">
      <c r="D85" s="376">
        <v>22</v>
      </c>
      <c r="E85" s="400" t="s">
        <v>847</v>
      </c>
    </row>
    <row r="86" spans="4:5" ht="15" hidden="1">
      <c r="D86" s="376">
        <v>23</v>
      </c>
      <c r="E86" s="400" t="s">
        <v>848</v>
      </c>
    </row>
    <row r="87" spans="4:5" ht="15" hidden="1">
      <c r="D87" s="376">
        <v>24</v>
      </c>
      <c r="E87" s="400" t="s">
        <v>850</v>
      </c>
    </row>
    <row r="88" spans="4:5" ht="15" hidden="1">
      <c r="D88" s="376">
        <v>25</v>
      </c>
      <c r="E88" s="400" t="s">
        <v>849</v>
      </c>
    </row>
    <row r="89" spans="4:5" ht="15" hidden="1">
      <c r="D89" s="376">
        <v>26</v>
      </c>
      <c r="E89" s="401" t="s">
        <v>1206</v>
      </c>
    </row>
    <row r="90" spans="4:5" ht="15" hidden="1">
      <c r="D90" s="376">
        <v>27</v>
      </c>
      <c r="E90" s="400" t="s">
        <v>851</v>
      </c>
    </row>
    <row r="91" spans="4:5" ht="15" hidden="1">
      <c r="D91" s="376">
        <v>28</v>
      </c>
      <c r="E91" s="400" t="s">
        <v>852</v>
      </c>
    </row>
    <row r="92" spans="4:5" ht="15" hidden="1">
      <c r="D92" s="376">
        <v>29</v>
      </c>
      <c r="E92" s="400" t="s">
        <v>853</v>
      </c>
    </row>
    <row r="93" spans="4:5" ht="15" hidden="1">
      <c r="D93" s="376">
        <v>30</v>
      </c>
      <c r="E93" s="400" t="s">
        <v>854</v>
      </c>
    </row>
    <row r="94" spans="4:5" ht="15" hidden="1">
      <c r="D94" s="376">
        <v>31</v>
      </c>
      <c r="E94" s="400" t="s">
        <v>855</v>
      </c>
    </row>
    <row r="95" spans="4:5" ht="15" hidden="1">
      <c r="D95" s="376">
        <v>32</v>
      </c>
      <c r="E95" s="400" t="s">
        <v>856</v>
      </c>
    </row>
    <row r="96" spans="4:5" ht="15" hidden="1">
      <c r="D96" s="376">
        <v>33</v>
      </c>
      <c r="E96" s="400" t="s">
        <v>857</v>
      </c>
    </row>
    <row r="97" spans="4:5" ht="15" hidden="1">
      <c r="D97" s="376">
        <v>34</v>
      </c>
      <c r="E97" s="400" t="s">
        <v>858</v>
      </c>
    </row>
    <row r="98" spans="4:5" ht="15" hidden="1">
      <c r="D98" s="376">
        <v>35</v>
      </c>
      <c r="E98" s="400" t="s">
        <v>859</v>
      </c>
    </row>
    <row r="99" spans="4:5" ht="15" hidden="1">
      <c r="D99" s="376">
        <v>36</v>
      </c>
      <c r="E99" s="400" t="s">
        <v>860</v>
      </c>
    </row>
    <row r="100" spans="4:5" ht="15" hidden="1">
      <c r="D100" s="376">
        <v>37</v>
      </c>
      <c r="E100" s="400" t="s">
        <v>935</v>
      </c>
    </row>
    <row r="101" spans="4:5" ht="15" hidden="1">
      <c r="D101" s="376">
        <v>38</v>
      </c>
      <c r="E101" s="400" t="s">
        <v>861</v>
      </c>
    </row>
    <row r="102" spans="4:5" ht="15" hidden="1">
      <c r="D102" s="376">
        <v>39</v>
      </c>
      <c r="E102" s="400" t="s">
        <v>862</v>
      </c>
    </row>
    <row r="103" spans="4:5" ht="15" hidden="1">
      <c r="D103" s="376">
        <v>40</v>
      </c>
      <c r="E103" s="400" t="s">
        <v>863</v>
      </c>
    </row>
    <row r="104" spans="4:5" ht="15" hidden="1">
      <c r="D104" s="376">
        <v>41</v>
      </c>
      <c r="E104" s="400" t="s">
        <v>864</v>
      </c>
    </row>
    <row r="105" spans="4:5" ht="15" hidden="1">
      <c r="D105" s="376">
        <v>42</v>
      </c>
      <c r="E105" s="400" t="s">
        <v>865</v>
      </c>
    </row>
    <row r="106" spans="4:5" ht="15" hidden="1">
      <c r="D106" s="376">
        <v>43</v>
      </c>
      <c r="E106" s="400" t="s">
        <v>866</v>
      </c>
    </row>
    <row r="107" spans="4:5" ht="15" hidden="1">
      <c r="D107" s="376">
        <v>44</v>
      </c>
      <c r="E107" s="400" t="s">
        <v>867</v>
      </c>
    </row>
    <row r="108" spans="4:5" ht="15" hidden="1">
      <c r="D108" s="376">
        <v>45</v>
      </c>
      <c r="E108" s="400" t="s">
        <v>868</v>
      </c>
    </row>
    <row r="109" spans="4:5" ht="15" hidden="1">
      <c r="D109" s="376">
        <v>46</v>
      </c>
      <c r="E109" s="400" t="s">
        <v>936</v>
      </c>
    </row>
    <row r="110" spans="4:5" ht="15" hidden="1">
      <c r="D110" s="376">
        <v>47</v>
      </c>
      <c r="E110" s="400" t="s">
        <v>869</v>
      </c>
    </row>
    <row r="111" spans="4:5" ht="15" hidden="1">
      <c r="D111" s="376">
        <v>48</v>
      </c>
      <c r="E111" s="400" t="s">
        <v>870</v>
      </c>
    </row>
    <row r="112" spans="4:5" ht="15" hidden="1">
      <c r="D112" s="376">
        <v>49</v>
      </c>
      <c r="E112" s="400" t="s">
        <v>872</v>
      </c>
    </row>
    <row r="113" spans="4:5" ht="15" hidden="1">
      <c r="D113" s="376">
        <v>50</v>
      </c>
      <c r="E113" s="400" t="s">
        <v>871</v>
      </c>
    </row>
    <row r="114" spans="4:5" ht="15" hidden="1">
      <c r="D114" s="376">
        <v>51</v>
      </c>
      <c r="E114" s="400" t="s">
        <v>873</v>
      </c>
    </row>
    <row r="115" spans="4:5" ht="15" hidden="1">
      <c r="D115" s="376">
        <v>52</v>
      </c>
      <c r="E115" s="400" t="s">
        <v>938</v>
      </c>
    </row>
    <row r="116" spans="4:5" ht="15" hidden="1">
      <c r="D116" s="376">
        <v>53</v>
      </c>
      <c r="E116" s="400" t="s">
        <v>874</v>
      </c>
    </row>
    <row r="117" spans="4:5" ht="15" hidden="1">
      <c r="D117" s="376">
        <v>54</v>
      </c>
      <c r="E117" s="400" t="s">
        <v>875</v>
      </c>
    </row>
    <row r="118" spans="4:5" ht="15" hidden="1">
      <c r="D118" s="376">
        <v>55</v>
      </c>
      <c r="E118" s="400" t="s">
        <v>876</v>
      </c>
    </row>
    <row r="119" spans="4:5" ht="15" hidden="1">
      <c r="D119" s="376">
        <v>56</v>
      </c>
      <c r="E119" s="400" t="s">
        <v>877</v>
      </c>
    </row>
    <row r="120" spans="4:5" ht="15" hidden="1">
      <c r="D120" s="376">
        <v>57</v>
      </c>
      <c r="E120" s="400" t="s">
        <v>878</v>
      </c>
    </row>
    <row r="121" spans="4:5" ht="15" hidden="1">
      <c r="D121" s="376">
        <v>58</v>
      </c>
      <c r="E121" s="401" t="s">
        <v>1115</v>
      </c>
    </row>
    <row r="122" spans="4:5" ht="15" hidden="1">
      <c r="D122" s="376">
        <v>59</v>
      </c>
      <c r="E122" s="400" t="s">
        <v>879</v>
      </c>
    </row>
    <row r="123" spans="4:5" ht="15" hidden="1">
      <c r="D123" s="376">
        <v>60</v>
      </c>
      <c r="E123" s="401" t="s">
        <v>1116</v>
      </c>
    </row>
    <row r="124" spans="4:5" ht="15" hidden="1">
      <c r="D124" s="376">
        <v>61</v>
      </c>
      <c r="E124" s="400" t="s">
        <v>880</v>
      </c>
    </row>
    <row r="125" spans="4:5" ht="15" hidden="1">
      <c r="D125" s="376">
        <v>62</v>
      </c>
      <c r="E125" s="400" t="s">
        <v>881</v>
      </c>
    </row>
    <row r="126" spans="4:5" ht="15" hidden="1">
      <c r="D126" s="376">
        <v>63</v>
      </c>
      <c r="E126" s="400" t="s">
        <v>882</v>
      </c>
    </row>
    <row r="127" spans="4:5" ht="15" hidden="1">
      <c r="D127" s="376">
        <v>64</v>
      </c>
      <c r="E127" s="401" t="s">
        <v>1210</v>
      </c>
    </row>
    <row r="128" spans="4:5" ht="15" hidden="1">
      <c r="D128" s="376">
        <v>65</v>
      </c>
      <c r="E128" s="400" t="s">
        <v>967</v>
      </c>
    </row>
    <row r="129" spans="4:5" ht="15" hidden="1">
      <c r="D129" s="376">
        <v>66</v>
      </c>
      <c r="E129" s="401" t="s">
        <v>1244</v>
      </c>
    </row>
    <row r="130" spans="4:5" ht="14.25" hidden="1">
      <c r="D130" s="376">
        <v>67</v>
      </c>
      <c r="E130" s="402" t="s">
        <v>968</v>
      </c>
    </row>
    <row r="131" spans="4:5" ht="15" hidden="1">
      <c r="D131" s="376">
        <v>68</v>
      </c>
      <c r="E131" s="403" t="s">
        <v>937</v>
      </c>
    </row>
    <row r="132" spans="4:5" ht="15" hidden="1">
      <c r="D132" s="376">
        <v>69</v>
      </c>
      <c r="E132" s="400" t="s">
        <v>892</v>
      </c>
    </row>
    <row r="133" spans="4:5" ht="15" hidden="1">
      <c r="D133" s="376">
        <v>70</v>
      </c>
      <c r="E133" s="401" t="s">
        <v>1117</v>
      </c>
    </row>
    <row r="134" spans="4:5" ht="15" hidden="1">
      <c r="D134" s="376">
        <v>71</v>
      </c>
      <c r="E134" s="401" t="s">
        <v>1208</v>
      </c>
    </row>
    <row r="135" spans="4:5" ht="15" hidden="1">
      <c r="D135" s="376">
        <v>72</v>
      </c>
      <c r="E135" s="401" t="s">
        <v>1209</v>
      </c>
    </row>
    <row r="136" spans="4:5" ht="15" hidden="1">
      <c r="D136" s="376">
        <v>73</v>
      </c>
      <c r="E136" s="400" t="s">
        <v>890</v>
      </c>
    </row>
    <row r="137" spans="4:5" ht="15" hidden="1">
      <c r="D137" s="376">
        <v>74</v>
      </c>
      <c r="E137" s="401" t="s">
        <v>1118</v>
      </c>
    </row>
    <row r="138" spans="4:5" ht="15" hidden="1">
      <c r="D138" s="376">
        <v>75</v>
      </c>
      <c r="E138" s="400" t="s">
        <v>888</v>
      </c>
    </row>
    <row r="139" spans="4:5" ht="15" hidden="1">
      <c r="D139" s="376">
        <v>76</v>
      </c>
      <c r="E139" s="400" t="s">
        <v>940</v>
      </c>
    </row>
    <row r="140" spans="4:5" ht="15" hidden="1">
      <c r="D140" s="376">
        <v>77</v>
      </c>
      <c r="E140" s="400" t="s">
        <v>884</v>
      </c>
    </row>
    <row r="141" spans="4:5" ht="15" hidden="1">
      <c r="D141" s="376">
        <v>78</v>
      </c>
      <c r="E141" s="400" t="s">
        <v>883</v>
      </c>
    </row>
    <row r="142" spans="4:5" ht="15" hidden="1">
      <c r="D142" s="376">
        <v>79</v>
      </c>
      <c r="E142" s="400" t="s">
        <v>942</v>
      </c>
    </row>
    <row r="143" spans="4:5" ht="15" hidden="1">
      <c r="D143" s="376">
        <v>80</v>
      </c>
      <c r="E143" s="401" t="s">
        <v>1207</v>
      </c>
    </row>
    <row r="144" spans="4:5" ht="15" hidden="1">
      <c r="D144" s="376">
        <v>81</v>
      </c>
      <c r="E144" s="400" t="s">
        <v>941</v>
      </c>
    </row>
    <row r="145" spans="4:5" ht="15" hidden="1">
      <c r="D145" s="376">
        <v>82</v>
      </c>
      <c r="E145" s="400" t="s">
        <v>886</v>
      </c>
    </row>
    <row r="146" spans="4:5" ht="15" hidden="1">
      <c r="D146" s="376">
        <v>83</v>
      </c>
      <c r="E146" s="400" t="s">
        <v>887</v>
      </c>
    </row>
    <row r="147" spans="4:5" ht="15" hidden="1">
      <c r="D147" s="376">
        <v>84</v>
      </c>
      <c r="E147" s="400" t="s">
        <v>889</v>
      </c>
    </row>
    <row r="148" spans="4:5" ht="15" hidden="1">
      <c r="D148" s="376">
        <v>85</v>
      </c>
      <c r="E148" s="400" t="s">
        <v>885</v>
      </c>
    </row>
    <row r="149" spans="4:5" ht="15" hidden="1">
      <c r="D149" s="376">
        <v>86</v>
      </c>
      <c r="E149" s="400" t="s">
        <v>891</v>
      </c>
    </row>
    <row r="150" spans="4:5" ht="15" hidden="1">
      <c r="D150" s="376">
        <v>87</v>
      </c>
      <c r="E150" s="400" t="s">
        <v>893</v>
      </c>
    </row>
    <row r="151" spans="4:5" ht="15" hidden="1">
      <c r="D151" s="376">
        <v>88</v>
      </c>
      <c r="E151" s="400" t="s">
        <v>896</v>
      </c>
    </row>
    <row r="152" spans="4:5" ht="15" hidden="1">
      <c r="D152" s="376">
        <v>89</v>
      </c>
      <c r="E152" s="400" t="s">
        <v>897</v>
      </c>
    </row>
    <row r="153" spans="4:5" ht="15" hidden="1">
      <c r="D153" s="376">
        <v>90</v>
      </c>
      <c r="E153" s="400" t="s">
        <v>894</v>
      </c>
    </row>
    <row r="154" spans="4:5" ht="15" hidden="1">
      <c r="D154" s="376">
        <v>91</v>
      </c>
      <c r="E154" s="400" t="s">
        <v>895</v>
      </c>
    </row>
    <row r="155" ht="12.75" hidden="1"/>
    <row r="156" ht="12.75" hidden="1"/>
    <row r="157" ht="12.75" hidden="1"/>
  </sheetData>
  <sheetProtection password="9D8A" sheet="1" selectLockedCells="1"/>
  <mergeCells count="77">
    <mergeCell ref="G35:G36"/>
    <mergeCell ref="H35:H36"/>
    <mergeCell ref="E37:F37"/>
    <mergeCell ref="E38:F38"/>
    <mergeCell ref="E39:F39"/>
    <mergeCell ref="E40:F40"/>
    <mergeCell ref="P27:P28"/>
    <mergeCell ref="M29:N29"/>
    <mergeCell ref="M30:N30"/>
    <mergeCell ref="M31:N31"/>
    <mergeCell ref="M32:N32"/>
    <mergeCell ref="E31:F31"/>
    <mergeCell ref="E32:F32"/>
    <mergeCell ref="O27:O28"/>
    <mergeCell ref="E45:G45"/>
    <mergeCell ref="D27:D28"/>
    <mergeCell ref="E27:F28"/>
    <mergeCell ref="G27:G28"/>
    <mergeCell ref="H27:H28"/>
    <mergeCell ref="E29:F29"/>
    <mergeCell ref="E30:F30"/>
    <mergeCell ref="B34:H34"/>
    <mergeCell ref="D35:D36"/>
    <mergeCell ref="E35:F36"/>
    <mergeCell ref="J9:P9"/>
    <mergeCell ref="M23:O23"/>
    <mergeCell ref="M12:N12"/>
    <mergeCell ref="M13:N13"/>
    <mergeCell ref="M14:N14"/>
    <mergeCell ref="L10:L11"/>
    <mergeCell ref="O10:O11"/>
    <mergeCell ref="P17:P18"/>
    <mergeCell ref="M10:N11"/>
    <mergeCell ref="E15:F15"/>
    <mergeCell ref="A8:P8"/>
    <mergeCell ref="E12:F12"/>
    <mergeCell ref="E13:F13"/>
    <mergeCell ref="E14:F14"/>
    <mergeCell ref="G10:G11"/>
    <mergeCell ref="B9:H9"/>
    <mergeCell ref="E10:F11"/>
    <mergeCell ref="H10:H11"/>
    <mergeCell ref="P10:P11"/>
    <mergeCell ref="D10:D11"/>
    <mergeCell ref="O17:O18"/>
    <mergeCell ref="B26:H26"/>
    <mergeCell ref="J26:P26"/>
    <mergeCell ref="L17:L18"/>
    <mergeCell ref="M22:N22"/>
    <mergeCell ref="M19:N19"/>
    <mergeCell ref="M20:N20"/>
    <mergeCell ref="M21:N21"/>
    <mergeCell ref="E21:F21"/>
    <mergeCell ref="J52:L52"/>
    <mergeCell ref="M17:N18"/>
    <mergeCell ref="M15:N15"/>
    <mergeCell ref="I51:K51"/>
    <mergeCell ref="L27:L28"/>
    <mergeCell ref="M27:N28"/>
    <mergeCell ref="E22:F22"/>
    <mergeCell ref="B16:H16"/>
    <mergeCell ref="D17:D18"/>
    <mergeCell ref="E17:F18"/>
    <mergeCell ref="G17:G18"/>
    <mergeCell ref="H17:H18"/>
    <mergeCell ref="E19:F19"/>
    <mergeCell ref="E20:F20"/>
    <mergeCell ref="E46:G46"/>
    <mergeCell ref="E47:G47"/>
    <mergeCell ref="E48:G48"/>
    <mergeCell ref="E49:G49"/>
    <mergeCell ref="J43:P43"/>
    <mergeCell ref="M45:O45"/>
    <mergeCell ref="J47:P47"/>
    <mergeCell ref="M48:O48"/>
    <mergeCell ref="M49:O49"/>
    <mergeCell ref="B43:H43"/>
  </mergeCells>
  <dataValidations count="1">
    <dataValidation type="whole" allowBlank="1" showInputMessage="1" showErrorMessage="1" error="Must Enter Whole Numbers ONLY!&#10;NO DECIMALS!" sqref="E19:F22 E29:F32 E12:F15 M12:N15 M19:M22 N21:N22 M29:N32">
      <formula1>0</formula1>
      <formula2>2000</formula2>
    </dataValidation>
  </dataValidations>
  <printOptions horizontalCentered="1" verticalCentered="1"/>
  <pageMargins left="0.25" right="0.25" top="0.45" bottom="0.25" header="0" footer="0"/>
  <pageSetup fitToHeight="1" fitToWidth="1" horizontalDpi="600" verticalDpi="600" orientation="portrait"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3:BK37"/>
  <sheetViews>
    <sheetView zoomScalePageLayoutView="0" workbookViewId="0" topLeftCell="A13">
      <selection activeCell="D2" sqref="D2"/>
    </sheetView>
  </sheetViews>
  <sheetFormatPr defaultColWidth="9.140625" defaultRowHeight="12.75"/>
  <cols>
    <col min="1" max="1" width="0.85546875" style="660" customWidth="1"/>
    <col min="2" max="2" width="22.7109375" style="675" customWidth="1"/>
    <col min="3" max="3" width="13.421875" style="660" customWidth="1"/>
    <col min="4" max="4" width="7.7109375" style="660" customWidth="1"/>
    <col min="5" max="5" width="15.7109375" style="660" customWidth="1"/>
    <col min="6" max="6" width="82.7109375" style="660" customWidth="1"/>
    <col min="7" max="14" width="0" style="660" hidden="1" customWidth="1"/>
    <col min="15" max="15" width="33.8515625" style="660" hidden="1" customWidth="1"/>
    <col min="16" max="16" width="0" style="660" hidden="1" customWidth="1"/>
    <col min="17" max="17" width="21.421875" style="660" hidden="1" customWidth="1"/>
    <col min="18" max="29" width="0" style="660" hidden="1" customWidth="1"/>
    <col min="30" max="16384" width="9.140625" style="660" customWidth="1"/>
  </cols>
  <sheetData>
    <row r="3" ht="21">
      <c r="F3" s="692"/>
    </row>
    <row r="4" ht="21">
      <c r="F4" s="692"/>
    </row>
    <row r="5" ht="21">
      <c r="F5" s="692"/>
    </row>
    <row r="6" ht="21">
      <c r="F6" s="692"/>
    </row>
    <row r="7" ht="21">
      <c r="F7" s="692"/>
    </row>
    <row r="9" spans="2:6" ht="20.25">
      <c r="B9" s="934" t="s">
        <v>1461</v>
      </c>
      <c r="C9" s="934"/>
      <c r="D9" s="934"/>
      <c r="E9" s="934"/>
      <c r="F9" s="934"/>
    </row>
    <row r="10" spans="2:6" ht="18.75">
      <c r="B10" s="764"/>
      <c r="C10" s="664"/>
      <c r="D10" s="664"/>
      <c r="E10" s="662"/>
      <c r="F10" s="663"/>
    </row>
    <row r="11" spans="2:13" ht="20.25" customHeight="1">
      <c r="B11" s="935" t="s">
        <v>1369</v>
      </c>
      <c r="C11" s="935"/>
      <c r="D11" s="935"/>
      <c r="E11" s="935"/>
      <c r="F11" s="935"/>
      <c r="G11" s="936" t="s">
        <v>589</v>
      </c>
      <c r="H11" s="937"/>
      <c r="I11" s="937"/>
      <c r="J11" s="324"/>
      <c r="K11" s="526"/>
      <c r="L11" s="683"/>
      <c r="M11" s="684" t="s">
        <v>589</v>
      </c>
    </row>
    <row r="12" spans="2:6" ht="19.5" customHeight="1">
      <c r="B12" s="747" t="s">
        <v>589</v>
      </c>
      <c r="C12" s="685" t="s">
        <v>589</v>
      </c>
      <c r="D12" s="938" t="s">
        <v>1279</v>
      </c>
      <c r="E12" s="939"/>
      <c r="F12" s="940"/>
    </row>
    <row r="13" spans="2:6" ht="19.5" customHeight="1">
      <c r="B13" s="685"/>
      <c r="C13" s="685" t="s">
        <v>589</v>
      </c>
      <c r="D13" s="941" t="s">
        <v>1280</v>
      </c>
      <c r="E13" s="942"/>
      <c r="F13" s="943"/>
    </row>
    <row r="14" spans="2:6" ht="4.5" customHeight="1" thickBot="1">
      <c r="B14" s="685"/>
      <c r="C14" s="685"/>
      <c r="D14" s="685"/>
      <c r="E14" s="685"/>
      <c r="F14" s="685"/>
    </row>
    <row r="15" spans="2:12" ht="162.75" customHeight="1" thickBot="1">
      <c r="B15" s="944" t="s">
        <v>1445</v>
      </c>
      <c r="C15" s="945"/>
      <c r="D15" s="945"/>
      <c r="E15" s="945"/>
      <c r="F15" s="946"/>
      <c r="L15" s="660" t="s">
        <v>589</v>
      </c>
    </row>
    <row r="16" spans="2:6" ht="18.75">
      <c r="B16" s="661"/>
      <c r="C16" s="664"/>
      <c r="D16" s="664"/>
      <c r="E16" s="662"/>
      <c r="F16" s="663"/>
    </row>
    <row r="17" spans="2:6" ht="20.25" customHeight="1">
      <c r="B17" s="935" t="s">
        <v>1368</v>
      </c>
      <c r="C17" s="935"/>
      <c r="D17" s="935"/>
      <c r="E17" s="935"/>
      <c r="F17" s="935"/>
    </row>
    <row r="18" spans="1:17" ht="41.25">
      <c r="A18" s="696" t="s">
        <v>589</v>
      </c>
      <c r="B18" s="699" t="s">
        <v>1264</v>
      </c>
      <c r="C18" s="699" t="s">
        <v>1265</v>
      </c>
      <c r="D18" s="699" t="s">
        <v>1266</v>
      </c>
      <c r="E18" s="699" t="s">
        <v>1267</v>
      </c>
      <c r="F18" s="699" t="s">
        <v>1370</v>
      </c>
      <c r="G18" s="653"/>
      <c r="H18" s="654"/>
      <c r="I18" s="669"/>
      <c r="J18" s="669"/>
      <c r="K18" s="669"/>
      <c r="L18" s="669"/>
      <c r="M18" s="669"/>
      <c r="O18" s="660" t="s">
        <v>1260</v>
      </c>
      <c r="Q18" s="660" t="s">
        <v>1261</v>
      </c>
    </row>
    <row r="19" spans="1:17" ht="15" customHeight="1">
      <c r="A19" s="697"/>
      <c r="B19" s="695" t="s">
        <v>592</v>
      </c>
      <c r="C19" s="666"/>
      <c r="D19" s="768">
        <f>SUM(D20:D26)</f>
        <v>0</v>
      </c>
      <c r="E19" s="766" t="s">
        <v>1479</v>
      </c>
      <c r="F19" s="667"/>
      <c r="G19" s="656"/>
      <c r="H19" s="656"/>
      <c r="I19" s="656"/>
      <c r="J19" s="656"/>
      <c r="K19" s="656"/>
      <c r="L19" s="656"/>
      <c r="M19" s="656"/>
      <c r="O19" s="660" t="s">
        <v>1262</v>
      </c>
      <c r="Q19" s="660" t="s">
        <v>1263</v>
      </c>
    </row>
    <row r="20" spans="1:17" ht="45" customHeight="1">
      <c r="A20" s="698"/>
      <c r="B20" s="743" t="s">
        <v>1260</v>
      </c>
      <c r="C20" s="744" t="s">
        <v>1261</v>
      </c>
      <c r="D20" s="744"/>
      <c r="E20" s="744"/>
      <c r="F20" s="745" t="s">
        <v>1474</v>
      </c>
      <c r="G20" s="658"/>
      <c r="H20" s="659"/>
      <c r="I20" s="658"/>
      <c r="J20" s="658"/>
      <c r="K20" s="658"/>
      <c r="L20" s="670"/>
      <c r="M20" s="671"/>
      <c r="O20" s="660" t="s">
        <v>1268</v>
      </c>
      <c r="Q20" s="660" t="s">
        <v>1269</v>
      </c>
    </row>
    <row r="21" spans="1:17" ht="45" customHeight="1">
      <c r="A21" s="698"/>
      <c r="B21" s="743" t="s">
        <v>1260</v>
      </c>
      <c r="C21" s="744" t="s">
        <v>1261</v>
      </c>
      <c r="D21" s="744"/>
      <c r="E21" s="744"/>
      <c r="F21" s="745" t="s">
        <v>1474</v>
      </c>
      <c r="G21" s="658"/>
      <c r="H21" s="659"/>
      <c r="I21" s="658"/>
      <c r="J21" s="658"/>
      <c r="K21" s="658"/>
      <c r="L21" s="670"/>
      <c r="M21" s="646"/>
      <c r="O21" s="660" t="s">
        <v>1270</v>
      </c>
      <c r="Q21" s="660" t="s">
        <v>1271</v>
      </c>
    </row>
    <row r="22" spans="1:17" ht="45" customHeight="1">
      <c r="A22" s="698"/>
      <c r="B22" s="743" t="s">
        <v>1260</v>
      </c>
      <c r="C22" s="744" t="s">
        <v>1261</v>
      </c>
      <c r="D22" s="744"/>
      <c r="E22" s="744"/>
      <c r="F22" s="748" t="s">
        <v>1474</v>
      </c>
      <c r="G22" s="658"/>
      <c r="H22" s="659"/>
      <c r="I22" s="658"/>
      <c r="J22" s="658"/>
      <c r="K22" s="658"/>
      <c r="L22" s="670"/>
      <c r="M22" s="649"/>
      <c r="O22" s="660" t="s">
        <v>1245</v>
      </c>
      <c r="Q22" s="660" t="s">
        <v>1282</v>
      </c>
    </row>
    <row r="23" spans="1:17" ht="45" customHeight="1">
      <c r="A23" s="698"/>
      <c r="B23" s="743" t="s">
        <v>1260</v>
      </c>
      <c r="C23" s="744" t="s">
        <v>1261</v>
      </c>
      <c r="D23" s="744"/>
      <c r="E23" s="744"/>
      <c r="F23" s="745" t="s">
        <v>1474</v>
      </c>
      <c r="G23" s="658"/>
      <c r="H23" s="659"/>
      <c r="I23" s="658" t="s">
        <v>589</v>
      </c>
      <c r="J23" s="658"/>
      <c r="K23" s="658"/>
      <c r="L23" s="670"/>
      <c r="M23" s="649"/>
      <c r="O23" s="660" t="s">
        <v>1272</v>
      </c>
      <c r="Q23" s="660" t="s">
        <v>1281</v>
      </c>
    </row>
    <row r="24" spans="1:15" ht="45" customHeight="1">
      <c r="A24" s="698"/>
      <c r="B24" s="743" t="s">
        <v>1260</v>
      </c>
      <c r="C24" s="744" t="s">
        <v>1261</v>
      </c>
      <c r="D24" s="744"/>
      <c r="E24" s="744"/>
      <c r="F24" s="745" t="s">
        <v>1474</v>
      </c>
      <c r="G24" s="656"/>
      <c r="H24" s="656"/>
      <c r="I24" s="656"/>
      <c r="J24" s="656"/>
      <c r="K24" s="656"/>
      <c r="L24" s="656"/>
      <c r="M24" s="656"/>
      <c r="O24" s="660" t="s">
        <v>1273</v>
      </c>
    </row>
    <row r="25" spans="1:13" ht="45" customHeight="1">
      <c r="A25" s="698"/>
      <c r="B25" s="743" t="s">
        <v>1260</v>
      </c>
      <c r="C25" s="744" t="s">
        <v>1261</v>
      </c>
      <c r="D25" s="744"/>
      <c r="E25" s="744"/>
      <c r="F25" s="745" t="s">
        <v>1474</v>
      </c>
      <c r="G25" s="658"/>
      <c r="H25" s="659"/>
      <c r="I25" s="658" t="s">
        <v>589</v>
      </c>
      <c r="J25" s="658"/>
      <c r="K25" s="658"/>
      <c r="L25" s="670"/>
      <c r="M25" s="671"/>
    </row>
    <row r="26" spans="1:13" ht="45" customHeight="1">
      <c r="A26" s="698"/>
      <c r="B26" s="743" t="s">
        <v>1260</v>
      </c>
      <c r="C26" s="744" t="s">
        <v>1261</v>
      </c>
      <c r="D26" s="744"/>
      <c r="E26" s="746"/>
      <c r="F26" s="745" t="s">
        <v>1474</v>
      </c>
      <c r="G26" s="658"/>
      <c r="H26" s="659"/>
      <c r="I26" s="658"/>
      <c r="J26" s="658"/>
      <c r="K26" s="658"/>
      <c r="L26" s="670"/>
      <c r="M26" s="646"/>
    </row>
    <row r="27" spans="1:13" ht="15" customHeight="1">
      <c r="A27" s="697"/>
      <c r="B27" s="695" t="s">
        <v>593</v>
      </c>
      <c r="C27" s="666"/>
      <c r="D27" s="767">
        <f>SUM(D28:D34)</f>
        <v>0</v>
      </c>
      <c r="E27" s="766" t="s">
        <v>1479</v>
      </c>
      <c r="F27" s="667"/>
      <c r="G27" s="658"/>
      <c r="H27" s="659"/>
      <c r="I27" s="658"/>
      <c r="J27" s="658"/>
      <c r="K27" s="658"/>
      <c r="L27" s="670"/>
      <c r="M27" s="649"/>
    </row>
    <row r="28" spans="1:13" ht="45" customHeight="1">
      <c r="A28" s="698"/>
      <c r="B28" s="743" t="s">
        <v>1260</v>
      </c>
      <c r="C28" s="744" t="s">
        <v>1261</v>
      </c>
      <c r="D28" s="744"/>
      <c r="E28" s="744" t="s">
        <v>589</v>
      </c>
      <c r="F28" s="745" t="s">
        <v>1475</v>
      </c>
      <c r="G28" s="658"/>
      <c r="H28" s="659"/>
      <c r="I28" s="658"/>
      <c r="J28" s="658"/>
      <c r="K28" s="658"/>
      <c r="L28" s="670"/>
      <c r="M28" s="649"/>
    </row>
    <row r="29" spans="1:13" ht="45" customHeight="1">
      <c r="A29" s="698"/>
      <c r="B29" s="743" t="s">
        <v>1260</v>
      </c>
      <c r="C29" s="744" t="s">
        <v>1261</v>
      </c>
      <c r="D29" s="744"/>
      <c r="E29" s="744"/>
      <c r="F29" s="745" t="s">
        <v>1474</v>
      </c>
      <c r="G29" s="658"/>
      <c r="H29" s="659"/>
      <c r="I29" s="658"/>
      <c r="J29" s="658"/>
      <c r="K29" s="658"/>
      <c r="L29" s="670"/>
      <c r="M29" s="649"/>
    </row>
    <row r="30" spans="1:13" ht="45" customHeight="1">
      <c r="A30" s="698"/>
      <c r="B30" s="743" t="s">
        <v>1260</v>
      </c>
      <c r="C30" s="744" t="s">
        <v>1261</v>
      </c>
      <c r="D30" s="744"/>
      <c r="E30" s="744"/>
      <c r="F30" s="745" t="s">
        <v>1474</v>
      </c>
      <c r="G30" s="658"/>
      <c r="H30" s="659"/>
      <c r="I30" s="658"/>
      <c r="J30" s="658"/>
      <c r="K30" s="658"/>
      <c r="L30" s="670"/>
      <c r="M30" s="649"/>
    </row>
    <row r="31" spans="1:63" ht="45" customHeight="1">
      <c r="A31" s="698"/>
      <c r="B31" s="743" t="s">
        <v>1260</v>
      </c>
      <c r="C31" s="744" t="s">
        <v>1261</v>
      </c>
      <c r="D31" s="744"/>
      <c r="E31" s="744"/>
      <c r="F31" s="745" t="s">
        <v>1474</v>
      </c>
      <c r="G31" s="658"/>
      <c r="H31" s="659"/>
      <c r="I31" s="658" t="s">
        <v>589</v>
      </c>
      <c r="J31" s="658"/>
      <c r="K31" s="658"/>
      <c r="L31" s="670"/>
      <c r="M31" s="649"/>
      <c r="BK31" s="660" t="s">
        <v>1310</v>
      </c>
    </row>
    <row r="32" spans="1:63" ht="45" customHeight="1">
      <c r="A32" s="698"/>
      <c r="B32" s="743" t="s">
        <v>1260</v>
      </c>
      <c r="C32" s="744" t="s">
        <v>1261</v>
      </c>
      <c r="D32" s="744"/>
      <c r="E32" s="744" t="s">
        <v>589</v>
      </c>
      <c r="F32" s="745" t="s">
        <v>1475</v>
      </c>
      <c r="G32" s="656"/>
      <c r="H32" s="656"/>
      <c r="I32" s="656"/>
      <c r="J32" s="656"/>
      <c r="K32" s="656"/>
      <c r="L32" s="656"/>
      <c r="M32" s="656"/>
      <c r="BK32" s="660" t="s">
        <v>1311</v>
      </c>
    </row>
    <row r="33" spans="1:63" ht="45" customHeight="1">
      <c r="A33" s="698"/>
      <c r="B33" s="743" t="s">
        <v>1260</v>
      </c>
      <c r="C33" s="744" t="s">
        <v>1261</v>
      </c>
      <c r="D33" s="744"/>
      <c r="E33" s="744" t="s">
        <v>589</v>
      </c>
      <c r="F33" s="745" t="s">
        <v>1475</v>
      </c>
      <c r="G33" s="658"/>
      <c r="H33" s="659"/>
      <c r="I33" s="658" t="s">
        <v>589</v>
      </c>
      <c r="J33" s="658"/>
      <c r="K33" s="658"/>
      <c r="L33" s="670"/>
      <c r="M33" s="671"/>
      <c r="BK33" s="660" t="s">
        <v>1312</v>
      </c>
    </row>
    <row r="34" spans="1:63" ht="45" customHeight="1">
      <c r="A34" s="698"/>
      <c r="B34" s="743" t="s">
        <v>1260</v>
      </c>
      <c r="C34" s="744" t="s">
        <v>1261</v>
      </c>
      <c r="D34" s="744"/>
      <c r="E34" s="746" t="s">
        <v>589</v>
      </c>
      <c r="F34" s="745" t="s">
        <v>1475</v>
      </c>
      <c r="G34" s="658"/>
      <c r="H34" s="659"/>
      <c r="I34" s="658"/>
      <c r="J34" s="658"/>
      <c r="K34" s="658"/>
      <c r="L34" s="670"/>
      <c r="M34" s="646"/>
      <c r="BK34" s="660" t="s">
        <v>1313</v>
      </c>
    </row>
    <row r="35" spans="1:63" ht="24.75" customHeight="1">
      <c r="A35" s="682"/>
      <c r="B35" s="686"/>
      <c r="C35" s="682"/>
      <c r="D35" s="682"/>
      <c r="E35" s="671"/>
      <c r="F35" s="754" t="s">
        <v>1459</v>
      </c>
      <c r="BK35" s="660" t="s">
        <v>1314</v>
      </c>
    </row>
    <row r="36" spans="1:63" ht="15">
      <c r="A36" s="676" t="str">
        <f>Cover!B56</f>
        <v>MO FFA 2022-2025 Application-October 2022</v>
      </c>
      <c r="B36" s="677"/>
      <c r="C36" s="678"/>
      <c r="D36" s="679"/>
      <c r="E36" s="680">
        <f ca="1">NOW()</f>
        <v>45188.54951967593</v>
      </c>
      <c r="F36" s="762">
        <f>Cover!$M$56</f>
        <v>0</v>
      </c>
      <c r="BK36" s="660" t="s">
        <v>1316</v>
      </c>
    </row>
    <row r="37" ht="15">
      <c r="BK37" s="660" t="s">
        <v>1315</v>
      </c>
    </row>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sheetData>
  <sheetProtection password="9D8A" sheet="1"/>
  <mergeCells count="7">
    <mergeCell ref="B9:F9"/>
    <mergeCell ref="B17:F17"/>
    <mergeCell ref="B11:F11"/>
    <mergeCell ref="G11:I11"/>
    <mergeCell ref="D12:F12"/>
    <mergeCell ref="D13:F13"/>
    <mergeCell ref="B15:F15"/>
  </mergeCells>
  <dataValidations count="3">
    <dataValidation type="list" allowBlank="1" showInputMessage="1" showErrorMessage="1" prompt="Select Placement Type&#10;" sqref="C28:C34 C20:C26">
      <formula1>$Q$18:$Q$23</formula1>
    </dataValidation>
    <dataValidation type="list" allowBlank="1" showInputMessage="1" showErrorMessage="1" prompt="Select Pathway&#10;" sqref="B28:B34 B20:B26">
      <formula1>$O$18:$O$24</formula1>
    </dataValidation>
    <dataValidation type="textLength" operator="lessThanOrEqual" allowBlank="1" showInputMessage="1" showErrorMessage="1" promptTitle="Limited to 250 Characters" prompt="250 Character Limit&#10;" sqref="F28:F34 F20:F21 F23:F26">
      <formula1>260</formula1>
    </dataValidation>
  </dataValidations>
  <printOptions/>
  <pageMargins left="0.25" right="0.25" top="0.45" bottom="0.25" header="0" footer="0"/>
  <pageSetup fitToHeight="1" fitToWidth="1" horizontalDpi="600" verticalDpi="600" orientation="portrait" scale="7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8:BK57"/>
  <sheetViews>
    <sheetView zoomScalePageLayoutView="0" workbookViewId="0" topLeftCell="A1">
      <selection activeCell="D1" sqref="D1"/>
    </sheetView>
  </sheetViews>
  <sheetFormatPr defaultColWidth="9.140625" defaultRowHeight="12.75"/>
  <cols>
    <col min="1" max="1" width="0.85546875" style="660" customWidth="1"/>
    <col min="2" max="2" width="22.7109375" style="675" customWidth="1"/>
    <col min="3" max="3" width="13.421875" style="660" customWidth="1"/>
    <col min="4" max="4" width="8.7109375" style="660" customWidth="1"/>
    <col min="5" max="5" width="15.7109375" style="660" customWidth="1"/>
    <col min="6" max="6" width="90.8515625" style="660" customWidth="1"/>
    <col min="7" max="7" width="9.140625" style="660" customWidth="1"/>
    <col min="8" max="14" width="0" style="660" hidden="1" customWidth="1"/>
    <col min="15" max="15" width="33.8515625" style="660" hidden="1" customWidth="1"/>
    <col min="16" max="16" width="0" style="660" hidden="1" customWidth="1"/>
    <col min="17" max="17" width="21.421875" style="660" hidden="1" customWidth="1"/>
    <col min="18" max="27" width="0" style="660" hidden="1" customWidth="1"/>
    <col min="28" max="16384" width="9.140625" style="660" customWidth="1"/>
  </cols>
  <sheetData>
    <row r="8" ht="15">
      <c r="F8" s="660" t="s">
        <v>1371</v>
      </c>
    </row>
    <row r="9" ht="15">
      <c r="B9" s="749"/>
    </row>
    <row r="10" spans="2:17" ht="20.25">
      <c r="B10" s="934" t="s">
        <v>1462</v>
      </c>
      <c r="C10" s="934"/>
      <c r="D10" s="934"/>
      <c r="E10" s="934"/>
      <c r="F10" s="934"/>
      <c r="O10" s="660" t="s">
        <v>1260</v>
      </c>
      <c r="Q10" s="660" t="s">
        <v>1261</v>
      </c>
    </row>
    <row r="11" spans="2:17" ht="4.5" customHeight="1">
      <c r="B11" s="693"/>
      <c r="C11" s="693"/>
      <c r="D11" s="693"/>
      <c r="E11" s="662"/>
      <c r="F11" s="694"/>
      <c r="O11" s="660" t="s">
        <v>1262</v>
      </c>
      <c r="Q11" s="660" t="s">
        <v>1263</v>
      </c>
    </row>
    <row r="12" spans="1:17" ht="18" customHeight="1">
      <c r="A12" s="656" t="s">
        <v>589</v>
      </c>
      <c r="B12" s="949" t="s">
        <v>1368</v>
      </c>
      <c r="C12" s="935"/>
      <c r="D12" s="935"/>
      <c r="E12" s="935"/>
      <c r="F12" s="935"/>
      <c r="O12" s="660" t="s">
        <v>1268</v>
      </c>
      <c r="Q12" s="660" t="s">
        <v>1269</v>
      </c>
    </row>
    <row r="13" spans="2:17" ht="41.25" customHeight="1">
      <c r="B13" s="700" t="s">
        <v>1264</v>
      </c>
      <c r="C13" s="700" t="s">
        <v>1265</v>
      </c>
      <c r="D13" s="700" t="s">
        <v>1266</v>
      </c>
      <c r="E13" s="700" t="s">
        <v>1267</v>
      </c>
      <c r="F13" s="699" t="s">
        <v>1372</v>
      </c>
      <c r="O13" s="660" t="s">
        <v>1270</v>
      </c>
      <c r="Q13" s="660" t="s">
        <v>1271</v>
      </c>
    </row>
    <row r="14" spans="2:17" ht="15" customHeight="1">
      <c r="B14" s="665" t="s">
        <v>594</v>
      </c>
      <c r="C14" s="666"/>
      <c r="D14" s="767">
        <f>SUM(D15:D21)</f>
        <v>0</v>
      </c>
      <c r="E14" s="766" t="s">
        <v>1479</v>
      </c>
      <c r="F14" s="668"/>
      <c r="O14" s="660" t="s">
        <v>1245</v>
      </c>
      <c r="Q14" s="660" t="s">
        <v>1282</v>
      </c>
    </row>
    <row r="15" spans="2:17" ht="45" customHeight="1">
      <c r="B15" s="744" t="s">
        <v>1260</v>
      </c>
      <c r="C15" s="744" t="s">
        <v>1261</v>
      </c>
      <c r="D15" s="744"/>
      <c r="E15" s="744" t="s">
        <v>589</v>
      </c>
      <c r="F15" s="745" t="s">
        <v>1475</v>
      </c>
      <c r="O15" s="660" t="s">
        <v>1272</v>
      </c>
      <c r="Q15" s="660" t="s">
        <v>1281</v>
      </c>
    </row>
    <row r="16" spans="2:15" ht="45" customHeight="1">
      <c r="B16" s="744" t="s">
        <v>1260</v>
      </c>
      <c r="C16" s="744" t="s">
        <v>1261</v>
      </c>
      <c r="D16" s="744"/>
      <c r="E16" s="744"/>
      <c r="F16" s="745" t="s">
        <v>1474</v>
      </c>
      <c r="O16" s="660" t="s">
        <v>1273</v>
      </c>
    </row>
    <row r="17" spans="2:6" ht="45" customHeight="1">
      <c r="B17" s="744" t="s">
        <v>1260</v>
      </c>
      <c r="C17" s="744" t="s">
        <v>1261</v>
      </c>
      <c r="D17" s="744"/>
      <c r="E17" s="744"/>
      <c r="F17" s="745" t="s">
        <v>1474</v>
      </c>
    </row>
    <row r="18" spans="1:13" ht="45" customHeight="1">
      <c r="A18" s="656" t="s">
        <v>589</v>
      </c>
      <c r="B18" s="744" t="s">
        <v>1260</v>
      </c>
      <c r="C18" s="744" t="s">
        <v>1261</v>
      </c>
      <c r="D18" s="744"/>
      <c r="E18" s="744"/>
      <c r="F18" s="745" t="s">
        <v>1474</v>
      </c>
      <c r="G18" s="653"/>
      <c r="H18" s="654"/>
      <c r="I18" s="669"/>
      <c r="J18" s="669"/>
      <c r="K18" s="669"/>
      <c r="L18" s="669"/>
      <c r="M18" s="669"/>
    </row>
    <row r="19" spans="1:13" ht="45" customHeight="1">
      <c r="A19" s="704"/>
      <c r="B19" s="744" t="s">
        <v>1260</v>
      </c>
      <c r="C19" s="744" t="s">
        <v>1261</v>
      </c>
      <c r="D19" s="744"/>
      <c r="E19" s="744" t="s">
        <v>589</v>
      </c>
      <c r="F19" s="745" t="s">
        <v>1475</v>
      </c>
      <c r="G19" s="656"/>
      <c r="H19" s="656"/>
      <c r="I19" s="656"/>
      <c r="J19" s="656"/>
      <c r="K19" s="656"/>
      <c r="L19" s="656"/>
      <c r="M19" s="656"/>
    </row>
    <row r="20" spans="1:13" ht="45" customHeight="1">
      <c r="A20" s="658"/>
      <c r="B20" s="744" t="s">
        <v>1260</v>
      </c>
      <c r="C20" s="744" t="s">
        <v>1261</v>
      </c>
      <c r="D20" s="744"/>
      <c r="E20" s="744" t="s">
        <v>589</v>
      </c>
      <c r="F20" s="745" t="s">
        <v>1475</v>
      </c>
      <c r="G20" s="658"/>
      <c r="H20" s="659"/>
      <c r="I20" s="658"/>
      <c r="J20" s="658"/>
      <c r="K20" s="658"/>
      <c r="L20" s="670"/>
      <c r="M20" s="671"/>
    </row>
    <row r="21" spans="1:13" ht="45" customHeight="1">
      <c r="A21" s="658"/>
      <c r="B21" s="744" t="s">
        <v>1260</v>
      </c>
      <c r="C21" s="744" t="s">
        <v>1261</v>
      </c>
      <c r="D21" s="744"/>
      <c r="E21" s="746" t="s">
        <v>589</v>
      </c>
      <c r="F21" s="745" t="s">
        <v>1475</v>
      </c>
      <c r="G21" s="658"/>
      <c r="H21" s="659"/>
      <c r="I21" s="658"/>
      <c r="J21" s="658"/>
      <c r="K21" s="658"/>
      <c r="L21" s="670"/>
      <c r="M21" s="646"/>
    </row>
    <row r="22" spans="1:13" ht="15" customHeight="1">
      <c r="A22" s="658"/>
      <c r="B22" s="665" t="s">
        <v>595</v>
      </c>
      <c r="C22" s="666"/>
      <c r="D22" s="767">
        <f>SUM(D23:D29)</f>
        <v>0</v>
      </c>
      <c r="E22" s="766" t="s">
        <v>1479</v>
      </c>
      <c r="F22" s="668"/>
      <c r="G22" s="658"/>
      <c r="H22" s="659"/>
      <c r="I22" s="658"/>
      <c r="J22" s="658"/>
      <c r="K22" s="658"/>
      <c r="L22" s="670"/>
      <c r="M22" s="649"/>
    </row>
    <row r="23" spans="1:13" ht="45" customHeight="1">
      <c r="A23" s="658"/>
      <c r="B23" s="744" t="s">
        <v>1260</v>
      </c>
      <c r="C23" s="744" t="s">
        <v>1261</v>
      </c>
      <c r="D23" s="744"/>
      <c r="E23" s="744" t="s">
        <v>589</v>
      </c>
      <c r="F23" s="745" t="s">
        <v>1475</v>
      </c>
      <c r="G23" s="658"/>
      <c r="H23" s="659"/>
      <c r="I23" s="658" t="s">
        <v>589</v>
      </c>
      <c r="J23" s="658"/>
      <c r="K23" s="658"/>
      <c r="L23" s="670"/>
      <c r="M23" s="649"/>
    </row>
    <row r="24" spans="1:13" ht="45" customHeight="1">
      <c r="A24" s="704"/>
      <c r="B24" s="744" t="s">
        <v>1260</v>
      </c>
      <c r="C24" s="744" t="s">
        <v>1261</v>
      </c>
      <c r="D24" s="744"/>
      <c r="E24" s="744" t="s">
        <v>589</v>
      </c>
      <c r="F24" s="745" t="s">
        <v>1475</v>
      </c>
      <c r="G24" s="656"/>
      <c r="H24" s="656"/>
      <c r="I24" s="656"/>
      <c r="J24" s="656"/>
      <c r="K24" s="656"/>
      <c r="L24" s="656"/>
      <c r="M24" s="656"/>
    </row>
    <row r="25" spans="1:13" ht="45" customHeight="1">
      <c r="A25" s="704"/>
      <c r="B25" s="744" t="s">
        <v>1260</v>
      </c>
      <c r="C25" s="744" t="s">
        <v>1261</v>
      </c>
      <c r="D25" s="744"/>
      <c r="E25" s="744" t="s">
        <v>589</v>
      </c>
      <c r="F25" s="745" t="s">
        <v>1475</v>
      </c>
      <c r="G25" s="656"/>
      <c r="H25" s="656"/>
      <c r="I25" s="656"/>
      <c r="J25" s="656"/>
      <c r="K25" s="656"/>
      <c r="L25" s="656"/>
      <c r="M25" s="656"/>
    </row>
    <row r="26" spans="1:13" ht="45" customHeight="1">
      <c r="A26" s="704"/>
      <c r="B26" s="744" t="s">
        <v>1262</v>
      </c>
      <c r="C26" s="744" t="s">
        <v>1261</v>
      </c>
      <c r="D26" s="744"/>
      <c r="E26" s="744"/>
      <c r="F26" s="745" t="s">
        <v>1474</v>
      </c>
      <c r="G26" s="656"/>
      <c r="H26" s="656"/>
      <c r="I26" s="656"/>
      <c r="J26" s="656"/>
      <c r="K26" s="656"/>
      <c r="L26" s="656"/>
      <c r="M26" s="656"/>
    </row>
    <row r="27" spans="1:13" ht="45" customHeight="1">
      <c r="A27" s="704"/>
      <c r="B27" s="744" t="s">
        <v>1260</v>
      </c>
      <c r="C27" s="744" t="s">
        <v>1261</v>
      </c>
      <c r="D27" s="744"/>
      <c r="E27" s="744"/>
      <c r="F27" s="745" t="s">
        <v>1474</v>
      </c>
      <c r="G27" s="656"/>
      <c r="H27" s="656"/>
      <c r="I27" s="656"/>
      <c r="J27" s="656"/>
      <c r="K27" s="656"/>
      <c r="L27" s="656"/>
      <c r="M27" s="656"/>
    </row>
    <row r="28" spans="1:13" ht="45" customHeight="1">
      <c r="A28" s="658"/>
      <c r="B28" s="744" t="s">
        <v>1260</v>
      </c>
      <c r="C28" s="744" t="s">
        <v>1261</v>
      </c>
      <c r="D28" s="744"/>
      <c r="E28" s="744"/>
      <c r="F28" s="745" t="s">
        <v>1474</v>
      </c>
      <c r="G28" s="658"/>
      <c r="H28" s="659"/>
      <c r="I28" s="658" t="s">
        <v>589</v>
      </c>
      <c r="J28" s="658"/>
      <c r="K28" s="658"/>
      <c r="L28" s="670"/>
      <c r="M28" s="671"/>
    </row>
    <row r="29" spans="1:13" ht="45" customHeight="1">
      <c r="A29" s="658"/>
      <c r="B29" s="744" t="s">
        <v>1260</v>
      </c>
      <c r="C29" s="744" t="s">
        <v>1261</v>
      </c>
      <c r="D29" s="744"/>
      <c r="E29" s="746" t="s">
        <v>589</v>
      </c>
      <c r="F29" s="745" t="s">
        <v>1475</v>
      </c>
      <c r="G29" s="658"/>
      <c r="H29" s="659"/>
      <c r="I29" s="658"/>
      <c r="J29" s="658"/>
      <c r="K29" s="658"/>
      <c r="L29" s="670"/>
      <c r="M29" s="646"/>
    </row>
    <row r="30" spans="1:13" ht="15" customHeight="1">
      <c r="A30" s="658"/>
      <c r="B30" s="672"/>
      <c r="C30" s="673"/>
      <c r="D30" s="673"/>
      <c r="E30" s="674"/>
      <c r="F30" s="668"/>
      <c r="G30" s="658"/>
      <c r="H30" s="659"/>
      <c r="I30" s="658"/>
      <c r="J30" s="658"/>
      <c r="K30" s="658"/>
      <c r="L30" s="670"/>
      <c r="M30" s="649"/>
    </row>
    <row r="31" spans="1:13" ht="4.5" customHeight="1">
      <c r="A31" s="658"/>
      <c r="G31" s="658"/>
      <c r="H31" s="659"/>
      <c r="I31" s="658"/>
      <c r="J31" s="658"/>
      <c r="K31" s="658"/>
      <c r="L31" s="670"/>
      <c r="M31" s="649"/>
    </row>
    <row r="32" spans="1:63" ht="44.25">
      <c r="A32" s="658"/>
      <c r="B32" s="770" t="s">
        <v>1274</v>
      </c>
      <c r="C32" s="770"/>
      <c r="D32" s="771" t="s">
        <v>1479</v>
      </c>
      <c r="E32" s="793">
        <f>SUM(E33:E39)</f>
        <v>0</v>
      </c>
      <c r="F32" s="772" t="s">
        <v>1275</v>
      </c>
      <c r="G32" s="658"/>
      <c r="H32" s="659"/>
      <c r="I32" s="658"/>
      <c r="J32" s="658"/>
      <c r="K32" s="658"/>
      <c r="L32" s="670"/>
      <c r="M32" s="649"/>
      <c r="BK32" s="660" t="s">
        <v>1310</v>
      </c>
    </row>
    <row r="33" spans="1:63" ht="30" customHeight="1">
      <c r="A33" s="658"/>
      <c r="B33" s="948" t="s">
        <v>1276</v>
      </c>
      <c r="C33" s="948"/>
      <c r="D33" s="701" t="s">
        <v>1277</v>
      </c>
      <c r="E33" s="701" t="s">
        <v>1266</v>
      </c>
      <c r="F33" s="702" t="s">
        <v>1443</v>
      </c>
      <c r="G33" s="658"/>
      <c r="H33" s="659"/>
      <c r="I33" s="658"/>
      <c r="J33" s="658"/>
      <c r="K33" s="658"/>
      <c r="L33" s="670"/>
      <c r="M33" s="649"/>
      <c r="O33" s="660" t="s">
        <v>1278</v>
      </c>
      <c r="BK33" s="660" t="s">
        <v>1312</v>
      </c>
    </row>
    <row r="34" spans="1:63" ht="45" customHeight="1">
      <c r="A34" s="658"/>
      <c r="B34" s="947"/>
      <c r="C34" s="947"/>
      <c r="D34" s="744" t="s">
        <v>1278</v>
      </c>
      <c r="E34" s="750"/>
      <c r="F34" s="751" t="s">
        <v>1474</v>
      </c>
      <c r="G34" s="658"/>
      <c r="H34" s="659"/>
      <c r="I34" s="658"/>
      <c r="J34" s="658"/>
      <c r="K34" s="658"/>
      <c r="L34" s="670"/>
      <c r="M34" s="649"/>
      <c r="O34" s="660" t="s">
        <v>1258</v>
      </c>
      <c r="BK34" s="660" t="s">
        <v>1313</v>
      </c>
    </row>
    <row r="35" spans="1:63" ht="45" customHeight="1">
      <c r="A35" s="658"/>
      <c r="B35" s="947"/>
      <c r="C35" s="947"/>
      <c r="D35" s="744" t="s">
        <v>1278</v>
      </c>
      <c r="E35" s="750"/>
      <c r="F35" s="751" t="s">
        <v>1474</v>
      </c>
      <c r="G35" s="658"/>
      <c r="H35" s="659"/>
      <c r="I35" s="658" t="s">
        <v>589</v>
      </c>
      <c r="J35" s="658"/>
      <c r="K35" s="658"/>
      <c r="L35" s="670"/>
      <c r="M35" s="649"/>
      <c r="O35" s="660" t="s">
        <v>620</v>
      </c>
      <c r="BK35" s="660" t="s">
        <v>1314</v>
      </c>
    </row>
    <row r="36" spans="1:63" ht="45" customHeight="1">
      <c r="A36" s="658"/>
      <c r="B36" s="947"/>
      <c r="C36" s="947"/>
      <c r="D36" s="744" t="s">
        <v>1278</v>
      </c>
      <c r="E36" s="750"/>
      <c r="F36" s="751" t="s">
        <v>1474</v>
      </c>
      <c r="G36" s="658"/>
      <c r="H36" s="659"/>
      <c r="I36" s="658" t="s">
        <v>589</v>
      </c>
      <c r="J36" s="658"/>
      <c r="K36" s="658"/>
      <c r="L36" s="670"/>
      <c r="M36" s="649"/>
      <c r="O36" s="660" t="s">
        <v>621</v>
      </c>
      <c r="BK36" s="660" t="s">
        <v>1316</v>
      </c>
    </row>
    <row r="37" spans="1:63" ht="45" customHeight="1">
      <c r="A37" s="658"/>
      <c r="B37" s="947"/>
      <c r="C37" s="947"/>
      <c r="D37" s="744" t="s">
        <v>1278</v>
      </c>
      <c r="E37" s="750"/>
      <c r="F37" s="751" t="s">
        <v>1474</v>
      </c>
      <c r="G37" s="658"/>
      <c r="H37" s="659"/>
      <c r="I37" s="658" t="s">
        <v>589</v>
      </c>
      <c r="J37" s="658"/>
      <c r="K37" s="658"/>
      <c r="L37" s="670"/>
      <c r="M37" s="649"/>
      <c r="O37" s="660" t="s">
        <v>622</v>
      </c>
      <c r="BK37" s="660" t="s">
        <v>1315</v>
      </c>
    </row>
    <row r="38" spans="1:15" ht="45" customHeight="1">
      <c r="A38" s="658"/>
      <c r="B38" s="947"/>
      <c r="C38" s="947"/>
      <c r="D38" s="744" t="s">
        <v>1278</v>
      </c>
      <c r="E38" s="750"/>
      <c r="F38" s="751" t="s">
        <v>1474</v>
      </c>
      <c r="G38" s="658"/>
      <c r="H38" s="659"/>
      <c r="I38" s="658"/>
      <c r="J38" s="658"/>
      <c r="K38" s="658"/>
      <c r="L38" s="670"/>
      <c r="M38" s="649"/>
      <c r="O38" s="660" t="s">
        <v>1442</v>
      </c>
    </row>
    <row r="39" spans="1:13" ht="45" customHeight="1">
      <c r="A39" s="658"/>
      <c r="B39" s="947"/>
      <c r="C39" s="947"/>
      <c r="D39" s="744" t="s">
        <v>1278</v>
      </c>
      <c r="E39" s="750"/>
      <c r="F39" s="751" t="s">
        <v>1474</v>
      </c>
      <c r="G39" s="658"/>
      <c r="H39" s="659"/>
      <c r="I39" s="658"/>
      <c r="J39" s="658"/>
      <c r="K39" s="658"/>
      <c r="L39" s="670"/>
      <c r="M39" s="649"/>
    </row>
    <row r="40" spans="7:13" ht="5.25" customHeight="1">
      <c r="G40" s="658"/>
      <c r="H40" s="659"/>
      <c r="I40" s="658" t="s">
        <v>589</v>
      </c>
      <c r="J40" s="658"/>
      <c r="K40" s="658"/>
      <c r="L40" s="670"/>
      <c r="M40" s="649"/>
    </row>
    <row r="41" spans="1:13" ht="13.5" customHeight="1">
      <c r="A41" s="703"/>
      <c r="B41" s="756" t="str">
        <f>Cover!B56</f>
        <v>MO FFA 2022-2025 Application-October 2022</v>
      </c>
      <c r="C41" s="678"/>
      <c r="E41" s="681">
        <f ca="1">NOW()</f>
        <v>45188.54951967593</v>
      </c>
      <c r="F41" s="762">
        <f>Cover!$M$56</f>
        <v>0</v>
      </c>
      <c r="G41" s="656"/>
      <c r="H41" s="656"/>
      <c r="I41" s="656"/>
      <c r="J41" s="656"/>
      <c r="K41" s="656"/>
      <c r="L41" s="656"/>
      <c r="M41" s="656"/>
    </row>
    <row r="42" spans="1:13" ht="45" customHeight="1" hidden="1">
      <c r="A42" s="657"/>
      <c r="G42" s="658"/>
      <c r="H42" s="659"/>
      <c r="I42" s="658" t="s">
        <v>589</v>
      </c>
      <c r="J42" s="658"/>
      <c r="K42" s="658"/>
      <c r="L42" s="670"/>
      <c r="M42" s="671"/>
    </row>
    <row r="43" spans="1:13" ht="45" customHeight="1" hidden="1">
      <c r="A43" s="657"/>
      <c r="G43" s="658"/>
      <c r="H43" s="659"/>
      <c r="I43" s="658"/>
      <c r="J43" s="658"/>
      <c r="K43" s="658"/>
      <c r="L43" s="670"/>
      <c r="M43" s="646"/>
    </row>
    <row r="44" spans="1:13" ht="45" customHeight="1" hidden="1">
      <c r="A44" s="657"/>
      <c r="G44" s="658"/>
      <c r="H44" s="659"/>
      <c r="I44" s="658"/>
      <c r="J44" s="658"/>
      <c r="K44" s="658"/>
      <c r="L44" s="670"/>
      <c r="M44" s="649"/>
    </row>
    <row r="45" spans="1:13" ht="45" customHeight="1" hidden="1">
      <c r="A45" s="657"/>
      <c r="G45" s="658"/>
      <c r="H45" s="659"/>
      <c r="I45" s="658"/>
      <c r="J45" s="658"/>
      <c r="K45" s="658"/>
      <c r="L45" s="670"/>
      <c r="M45" s="649"/>
    </row>
    <row r="46" spans="1:13" ht="13.5" customHeight="1" hidden="1">
      <c r="A46" s="655"/>
      <c r="G46" s="656"/>
      <c r="H46" s="656"/>
      <c r="I46" s="656"/>
      <c r="J46" s="656"/>
      <c r="K46" s="656"/>
      <c r="L46" s="656"/>
      <c r="M46" s="656"/>
    </row>
    <row r="47" spans="1:13" ht="45" customHeight="1" hidden="1">
      <c r="A47" s="657"/>
      <c r="G47" s="658"/>
      <c r="H47" s="659"/>
      <c r="I47" s="658"/>
      <c r="J47" s="658"/>
      <c r="K47" s="658"/>
      <c r="L47" s="670"/>
      <c r="M47" s="671"/>
    </row>
    <row r="48" spans="1:13" ht="45" customHeight="1" hidden="1">
      <c r="A48" s="657"/>
      <c r="G48" s="658"/>
      <c r="H48" s="659"/>
      <c r="I48" s="658"/>
      <c r="J48" s="658"/>
      <c r="K48" s="658"/>
      <c r="L48" s="670"/>
      <c r="M48" s="646"/>
    </row>
    <row r="49" spans="1:13" ht="45" customHeight="1" hidden="1">
      <c r="A49" s="657"/>
      <c r="G49" s="658"/>
      <c r="H49" s="659"/>
      <c r="I49" s="658"/>
      <c r="J49" s="658"/>
      <c r="K49" s="658"/>
      <c r="L49" s="670"/>
      <c r="M49" s="649"/>
    </row>
    <row r="50" spans="1:13" ht="45" customHeight="1" hidden="1">
      <c r="A50" s="657"/>
      <c r="G50" s="658"/>
      <c r="H50" s="659"/>
      <c r="I50" s="658"/>
      <c r="J50" s="658"/>
      <c r="K50" s="658"/>
      <c r="L50" s="670"/>
      <c r="M50" s="649"/>
    </row>
    <row r="51" spans="1:13" ht="13.5" customHeight="1" hidden="1">
      <c r="A51" s="682"/>
      <c r="G51" s="658"/>
      <c r="H51" s="659"/>
      <c r="I51" s="658"/>
      <c r="J51" s="658"/>
      <c r="K51" s="658"/>
      <c r="L51" s="670"/>
      <c r="M51" s="649"/>
    </row>
    <row r="52" ht="8.25" customHeight="1" hidden="1"/>
    <row r="53" spans="1:13" ht="13.5" customHeight="1" hidden="1">
      <c r="A53" s="676"/>
      <c r="G53" s="658"/>
      <c r="H53" s="659"/>
      <c r="I53" s="658"/>
      <c r="J53" s="658"/>
      <c r="K53" s="658"/>
      <c r="L53" s="670"/>
      <c r="M53" s="649"/>
    </row>
    <row r="54" ht="15" hidden="1"/>
    <row r="55" ht="15" hidden="1"/>
    <row r="56" ht="15" hidden="1"/>
    <row r="57" ht="15.75">
      <c r="F57" s="755" t="s">
        <v>1460</v>
      </c>
    </row>
  </sheetData>
  <sheetProtection password="9D8A" sheet="1"/>
  <mergeCells count="9">
    <mergeCell ref="B37:C37"/>
    <mergeCell ref="B38:C38"/>
    <mergeCell ref="B39:C39"/>
    <mergeCell ref="B33:C33"/>
    <mergeCell ref="B10:F10"/>
    <mergeCell ref="B34:C34"/>
    <mergeCell ref="B35:C35"/>
    <mergeCell ref="B36:C36"/>
    <mergeCell ref="B12:F12"/>
  </mergeCells>
  <conditionalFormatting sqref="E32">
    <cfRule type="cellIs" priority="1" dxfId="0" operator="lessThan" stopIfTrue="1">
      <formula>25</formula>
    </cfRule>
  </conditionalFormatting>
  <dataValidations count="5">
    <dataValidation type="textLength" operator="lessThanOrEqual" allowBlank="1" showInputMessage="1" showErrorMessage="1" promptTitle="Limited to 250 Characters" prompt="250 Character Limit" sqref="F34:F39">
      <formula1>260</formula1>
    </dataValidation>
    <dataValidation type="list" allowBlank="1" showInputMessage="1" showErrorMessage="1" prompt="Select Pathway&#10;" sqref="B15:B21 B23:B29">
      <formula1>$O$10:$O$16</formula1>
    </dataValidation>
    <dataValidation type="list" allowBlank="1" showInputMessage="1" showErrorMessage="1" prompt="Select Placement Type&#10;" sqref="C15:C21 C23:C29">
      <formula1>$Q$10:$Q$15</formula1>
    </dataValidation>
    <dataValidation type="textLength" operator="lessThanOrEqual" allowBlank="1" showInputMessage="1" showErrorMessage="1" promptTitle="Limited to 250 Characters" prompt="250 Character Limit&#10;" sqref="F15:F21 F23:F29">
      <formula1>260</formula1>
    </dataValidation>
    <dataValidation type="list" allowBlank="1" showInputMessage="1" showErrorMessage="1" prompt="Select Year&#10;" sqref="D34:D39">
      <formula1>$O$33:$O$38</formula1>
    </dataValidation>
  </dataValidations>
  <printOptions/>
  <pageMargins left="0.25" right="0.25" top="0.45" bottom="0.25" header="0" footer="0"/>
  <pageSetup fitToHeight="1" fitToWidth="1" horizontalDpi="600" verticalDpi="600" orientation="portrait" scale="66"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IU100"/>
  <sheetViews>
    <sheetView showGridLines="0" showZeros="0" zoomScalePageLayoutView="0" workbookViewId="0" topLeftCell="A1">
      <selection activeCell="I40" sqref="I40"/>
    </sheetView>
  </sheetViews>
  <sheetFormatPr defaultColWidth="10.7109375" defaultRowHeight="15.75" customHeight="1"/>
  <cols>
    <col min="1" max="1" width="10.421875" style="17" customWidth="1"/>
    <col min="2" max="2" width="37.8515625" style="17" customWidth="1"/>
    <col min="3" max="4" width="7.00390625" style="17" customWidth="1"/>
    <col min="5" max="5" width="10.140625" style="74" customWidth="1"/>
    <col min="6" max="8" width="7.00390625" style="74" customWidth="1"/>
    <col min="9" max="9" width="8.421875" style="74" customWidth="1"/>
    <col min="10" max="10" width="3.421875" style="17" customWidth="1"/>
    <col min="11" max="11" width="11.7109375" style="17" hidden="1" customWidth="1"/>
    <col min="12" max="12" width="40.8515625" style="17" hidden="1" customWidth="1"/>
    <col min="13" max="13" width="6.28125" style="17" hidden="1" customWidth="1"/>
    <col min="14" max="14" width="6.28125" style="75" hidden="1" customWidth="1"/>
    <col min="15" max="20" width="6.28125" style="17" hidden="1" customWidth="1"/>
    <col min="21" max="42" width="8.7109375" style="17" hidden="1" customWidth="1"/>
    <col min="43" max="43" width="13.421875" style="17" hidden="1" customWidth="1"/>
    <col min="44" max="44" width="47.28125" style="19" hidden="1" customWidth="1"/>
    <col min="45" max="45" width="13.421875" style="17" hidden="1" customWidth="1"/>
    <col min="46" max="53" width="8.7109375" style="17" hidden="1" customWidth="1"/>
    <col min="54" max="54" width="60.7109375" style="17" hidden="1" customWidth="1"/>
    <col min="55" max="55" width="75.140625" style="17" hidden="1" customWidth="1"/>
    <col min="56" max="56" width="82.57421875" style="17" hidden="1" customWidth="1"/>
    <col min="57" max="57" width="87.00390625" style="17" hidden="1" customWidth="1"/>
    <col min="58" max="58" width="7.421875" style="17" hidden="1" customWidth="1"/>
    <col min="59" max="60" width="8.7109375" style="17" hidden="1" customWidth="1"/>
    <col min="61" max="61" width="62.8515625" style="17" hidden="1" customWidth="1"/>
    <col min="62" max="62" width="61.00390625" style="17" hidden="1" customWidth="1"/>
    <col min="63" max="63" width="59.421875" style="17" hidden="1" customWidth="1"/>
    <col min="64" max="64" width="71.7109375" style="17" hidden="1" customWidth="1"/>
    <col min="65" max="65" width="76.28125" style="17" hidden="1" customWidth="1"/>
    <col min="66" max="78" width="8.7109375" style="17" hidden="1" customWidth="1"/>
    <col min="79" max="125" width="8.7109375" style="17" customWidth="1"/>
    <col min="126" max="255" width="12.7109375" style="17" customWidth="1"/>
    <col min="256" max="16384" width="10.7109375" style="17" customWidth="1"/>
  </cols>
  <sheetData>
    <row r="1" spans="1:20" ht="18" customHeight="1">
      <c r="A1" s="41"/>
      <c r="K1"/>
      <c r="L1"/>
      <c r="M1"/>
      <c r="N1"/>
      <c r="O1"/>
      <c r="P1"/>
      <c r="Q1"/>
      <c r="R1"/>
      <c r="S1"/>
      <c r="T1"/>
    </row>
    <row r="2" spans="11:20" ht="18" customHeight="1">
      <c r="K2"/>
      <c r="L2"/>
      <c r="M2"/>
      <c r="N2"/>
      <c r="O2"/>
      <c r="P2"/>
      <c r="Q2"/>
      <c r="R2"/>
      <c r="S2"/>
      <c r="T2"/>
    </row>
    <row r="3" spans="11:20" ht="18" customHeight="1">
      <c r="K3"/>
      <c r="L3"/>
      <c r="M3"/>
      <c r="N3"/>
      <c r="O3"/>
      <c r="P3"/>
      <c r="Q3"/>
      <c r="R3"/>
      <c r="S3"/>
      <c r="T3"/>
    </row>
    <row r="4" spans="11:20" ht="18" customHeight="1">
      <c r="K4"/>
      <c r="L4"/>
      <c r="M4"/>
      <c r="N4"/>
      <c r="O4"/>
      <c r="P4"/>
      <c r="Q4"/>
      <c r="R4"/>
      <c r="S4"/>
      <c r="T4"/>
    </row>
    <row r="5" spans="11:20" ht="18" customHeight="1">
      <c r="K5"/>
      <c r="L5"/>
      <c r="M5"/>
      <c r="N5"/>
      <c r="O5"/>
      <c r="P5"/>
      <c r="Q5"/>
      <c r="R5"/>
      <c r="S5"/>
      <c r="T5"/>
    </row>
    <row r="6" spans="1:20" ht="18" customHeight="1">
      <c r="A6" s="41"/>
      <c r="K6"/>
      <c r="L6"/>
      <c r="M6"/>
      <c r="N6"/>
      <c r="O6"/>
      <c r="P6"/>
      <c r="Q6"/>
      <c r="R6"/>
      <c r="S6"/>
      <c r="T6"/>
    </row>
    <row r="7" spans="1:20" ht="24" customHeight="1">
      <c r="A7" s="156" t="s">
        <v>653</v>
      </c>
      <c r="B7" s="157"/>
      <c r="C7" s="157"/>
      <c r="D7" s="157"/>
      <c r="E7" s="153" t="s">
        <v>794</v>
      </c>
      <c r="F7" s="154" t="s">
        <v>625</v>
      </c>
      <c r="G7" s="155" t="s">
        <v>796</v>
      </c>
      <c r="H7" s="968" t="s">
        <v>795</v>
      </c>
      <c r="I7" s="969"/>
      <c r="K7"/>
      <c r="L7"/>
      <c r="M7"/>
      <c r="N7"/>
      <c r="O7"/>
      <c r="P7"/>
      <c r="Q7"/>
      <c r="R7"/>
      <c r="S7"/>
      <c r="T7"/>
    </row>
    <row r="8" spans="1:45" ht="24.75" customHeight="1">
      <c r="A8" s="27" t="s">
        <v>654</v>
      </c>
      <c r="B8" s="77"/>
      <c r="C8" s="77"/>
      <c r="D8" s="37"/>
      <c r="E8" s="235">
        <f>($E$12+$E$22+$Q$9)</f>
        <v>0</v>
      </c>
      <c r="F8" s="135">
        <f>$AD$16</f>
        <v>0</v>
      </c>
      <c r="G8" s="78"/>
      <c r="H8" s="115"/>
      <c r="I8" s="116"/>
      <c r="J8" s="77"/>
      <c r="K8"/>
      <c r="L8"/>
      <c r="M8"/>
      <c r="N8"/>
      <c r="O8"/>
      <c r="P8"/>
      <c r="Q8"/>
      <c r="R8"/>
      <c r="S8"/>
      <c r="T8"/>
      <c r="V8" s="17">
        <f>IF($X$16=$V$14,"ERR",$AD$14)</f>
        <v>0</v>
      </c>
      <c r="Z8" s="17" t="s">
        <v>657</v>
      </c>
      <c r="AA8" s="17">
        <v>1</v>
      </c>
      <c r="AB8" s="17" t="s">
        <v>657</v>
      </c>
      <c r="AC8" s="17" t="s">
        <v>658</v>
      </c>
      <c r="AF8" s="17" t="s">
        <v>659</v>
      </c>
      <c r="AG8" s="17" t="s">
        <v>660</v>
      </c>
      <c r="AQ8" s="18">
        <v>1</v>
      </c>
      <c r="AR8" s="19" t="s">
        <v>589</v>
      </c>
      <c r="AS8" s="17">
        <v>0</v>
      </c>
    </row>
    <row r="9" spans="1:45" ht="24.75" customHeight="1">
      <c r="A9" s="145" t="s">
        <v>661</v>
      </c>
      <c r="B9" s="81"/>
      <c r="C9" s="19"/>
      <c r="D9" s="146"/>
      <c r="E9" s="19"/>
      <c r="F9" s="21"/>
      <c r="G9" s="19"/>
      <c r="H9" s="19"/>
      <c r="I9" s="147" t="str">
        <f>IF($F$8="ER",$AC$8,IF($F$8=400,$AG$8,$AF$8))</f>
        <v>  </v>
      </c>
      <c r="J9" s="39"/>
      <c r="K9"/>
      <c r="L9"/>
      <c r="M9"/>
      <c r="N9"/>
      <c r="O9"/>
      <c r="P9"/>
      <c r="Q9">
        <f>'FFA Leadership 2'!$P$6</f>
        <v>0</v>
      </c>
      <c r="R9">
        <f>'FFA Leadership 2'!$P$14</f>
        <v>0</v>
      </c>
      <c r="S9"/>
      <c r="T9"/>
      <c r="Z9" s="17" t="s">
        <v>662</v>
      </c>
      <c r="AC9" s="17" t="s">
        <v>663</v>
      </c>
      <c r="AQ9" s="18">
        <v>2</v>
      </c>
      <c r="AR9" s="19" t="s">
        <v>664</v>
      </c>
      <c r="AS9" s="18">
        <v>40</v>
      </c>
    </row>
    <row r="10" spans="1:45" s="19" customFormat="1" ht="15.75" customHeight="1">
      <c r="A10" s="970" t="str">
        <f>+$W$29</f>
        <v> </v>
      </c>
      <c r="B10" s="970"/>
      <c r="C10" s="970"/>
      <c r="D10" s="970"/>
      <c r="E10" s="970"/>
      <c r="F10" s="970"/>
      <c r="G10" s="970"/>
      <c r="H10" s="970"/>
      <c r="I10" s="970"/>
      <c r="J10" s="82"/>
      <c r="K10"/>
      <c r="L10"/>
      <c r="M10"/>
      <c r="N10"/>
      <c r="O10"/>
      <c r="P10"/>
      <c r="Q10"/>
      <c r="R10"/>
      <c r="S10"/>
      <c r="T10"/>
      <c r="V10" s="19">
        <f>IF($X$16=$V$14,"ERR",$W$10)</f>
        <v>0</v>
      </c>
      <c r="W10" s="36">
        <f>IF($AD$14&lt;100,$AD$14,100)</f>
        <v>0</v>
      </c>
      <c r="Y10" s="18" t="s">
        <v>665</v>
      </c>
      <c r="Z10" s="19">
        <f>IF($F$12&lt;76,$F$12,$AA$8)</f>
        <v>0</v>
      </c>
      <c r="AA10" s="19">
        <f>+$F$12</f>
        <v>0</v>
      </c>
      <c r="AQ10" s="18">
        <v>3</v>
      </c>
      <c r="AR10" s="19" t="s">
        <v>666</v>
      </c>
      <c r="AS10" s="18">
        <v>30</v>
      </c>
    </row>
    <row r="11" spans="1:45" ht="24.75" customHeight="1">
      <c r="A11" s="971" t="s">
        <v>667</v>
      </c>
      <c r="B11" s="972"/>
      <c r="C11" s="972"/>
      <c r="D11" s="973"/>
      <c r="E11" s="153" t="s">
        <v>794</v>
      </c>
      <c r="F11" s="154" t="s">
        <v>625</v>
      </c>
      <c r="G11" s="155" t="s">
        <v>796</v>
      </c>
      <c r="H11" s="968" t="s">
        <v>795</v>
      </c>
      <c r="I11" s="969"/>
      <c r="J11" s="85"/>
      <c r="K11"/>
      <c r="L11"/>
      <c r="M11"/>
      <c r="N11"/>
      <c r="O11"/>
      <c r="P11"/>
      <c r="Q11"/>
      <c r="R11"/>
      <c r="S11"/>
      <c r="T11"/>
      <c r="Y11" s="18" t="s">
        <v>668</v>
      </c>
      <c r="Z11" s="17">
        <f>IF($F$22&lt;91,$F$22,$AA$8)</f>
        <v>0</v>
      </c>
      <c r="AA11" s="19">
        <f>$AJ$44</f>
        <v>0</v>
      </c>
      <c r="AC11" s="41">
        <v>1</v>
      </c>
      <c r="AD11" s="17">
        <f>LOOKUP(AC11,$AQ$8:$AS$32)</f>
        <v>0</v>
      </c>
      <c r="AF11" s="17">
        <f>IF($AC$11&gt;1,0,1)</f>
        <v>1</v>
      </c>
      <c r="AG11" s="17">
        <f>COUNTBLANK($K$10:$K$10)</f>
        <v>1</v>
      </c>
      <c r="AQ11" s="18">
        <v>4</v>
      </c>
      <c r="AR11" s="19" t="s">
        <v>669</v>
      </c>
      <c r="AS11" s="18">
        <v>30</v>
      </c>
    </row>
    <row r="12" spans="1:45" ht="21" customHeight="1">
      <c r="A12" s="131" t="s">
        <v>670</v>
      </c>
      <c r="B12" s="53"/>
      <c r="C12" s="87"/>
      <c r="D12" s="88"/>
      <c r="E12" s="61">
        <f>$AN$23</f>
        <v>0</v>
      </c>
      <c r="F12" s="61">
        <f>$AO$22</f>
        <v>0</v>
      </c>
      <c r="G12" s="62"/>
      <c r="H12" s="113"/>
      <c r="I12" s="114" t="s">
        <v>605</v>
      </c>
      <c r="J12" s="85"/>
      <c r="K12"/>
      <c r="L12"/>
      <c r="M12"/>
      <c r="N12"/>
      <c r="O12"/>
      <c r="P12"/>
      <c r="Q12"/>
      <c r="R12"/>
      <c r="S12"/>
      <c r="T12"/>
      <c r="U12" s="17" t="s">
        <v>589</v>
      </c>
      <c r="Y12" s="18" t="s">
        <v>671</v>
      </c>
      <c r="Z12" s="17">
        <f>IF($R$9&lt;101,$R$9,$AA$8)</f>
        <v>0</v>
      </c>
      <c r="AA12" s="17">
        <f>$R$9</f>
        <v>0</v>
      </c>
      <c r="AC12" s="41">
        <v>1</v>
      </c>
      <c r="AD12" s="17">
        <f>LOOKUP(AC12,$AQ$8:$AS$32)</f>
        <v>0</v>
      </c>
      <c r="AF12" s="17">
        <f>IF($AC$12&gt;1,0,1)</f>
        <v>1</v>
      </c>
      <c r="AG12" s="17">
        <f>COUNTBLANK($K$11:$K$11)</f>
        <v>1</v>
      </c>
      <c r="AQ12" s="18">
        <v>5</v>
      </c>
      <c r="AR12" s="19" t="s">
        <v>672</v>
      </c>
      <c r="AS12" s="18">
        <v>30</v>
      </c>
    </row>
    <row r="13" spans="1:50" ht="18" customHeight="1">
      <c r="A13" s="149" t="s">
        <v>642</v>
      </c>
      <c r="B13" s="150" t="s">
        <v>673</v>
      </c>
      <c r="C13" s="31"/>
      <c r="D13" s="31"/>
      <c r="E13" s="143" t="s">
        <v>674</v>
      </c>
      <c r="F13" s="143" t="s">
        <v>627</v>
      </c>
      <c r="G13" s="143" t="s">
        <v>675</v>
      </c>
      <c r="H13" s="143" t="s">
        <v>631</v>
      </c>
      <c r="I13" s="144" t="s">
        <v>676</v>
      </c>
      <c r="J13" s="85"/>
      <c r="K13"/>
      <c r="L13"/>
      <c r="M13"/>
      <c r="N13"/>
      <c r="O13"/>
      <c r="P13"/>
      <c r="Q13"/>
      <c r="R13"/>
      <c r="S13"/>
      <c r="T13"/>
      <c r="U13" s="55" t="str">
        <f>IF(COUNTBLANK($L$17:$L$21)&lt;5,IF($N$15=0,"Points Missing",$U$12),$U$12)</f>
        <v> </v>
      </c>
      <c r="V13" s="17" t="s">
        <v>589</v>
      </c>
      <c r="Y13" s="18" t="s">
        <v>677</v>
      </c>
      <c r="Z13" s="17">
        <f>IF($N$15&lt;41,$N$15,$AA$8)</f>
        <v>0</v>
      </c>
      <c r="AA13" s="17">
        <f>$N$15</f>
        <v>0</v>
      </c>
      <c r="AC13" s="41">
        <v>1</v>
      </c>
      <c r="AD13" s="17">
        <f>LOOKUP(AC13,$AQ$8:$AS$32)</f>
        <v>0</v>
      </c>
      <c r="AF13" s="17">
        <f>IF($AC$13&gt;1,0,1)</f>
        <v>1</v>
      </c>
      <c r="AG13" s="17">
        <f>COUNTBLANK($K$12:$K$12)</f>
        <v>1</v>
      </c>
      <c r="AQ13" s="18">
        <v>6</v>
      </c>
      <c r="AR13" s="19" t="s">
        <v>678</v>
      </c>
      <c r="AS13" s="18">
        <v>30</v>
      </c>
      <c r="AX13" s="17" t="s">
        <v>589</v>
      </c>
    </row>
    <row r="14" spans="1:50" ht="29.25" customHeight="1">
      <c r="A14" s="316"/>
      <c r="B14" s="959"/>
      <c r="C14" s="960"/>
      <c r="D14" s="961"/>
      <c r="E14" s="299"/>
      <c r="F14" s="299"/>
      <c r="G14" s="299"/>
      <c r="H14" s="299"/>
      <c r="I14" s="315"/>
      <c r="J14" s="85"/>
      <c r="K14" t="str">
        <f aca="true" t="shared" si="0" ref="K14:K19">IF($E14&lt;&gt;"","Chapter_A",IF($F14&lt;&gt;"","Area_A",IF($G14&lt;&gt;"","District_A",IF($H14&lt;&gt;"","State_A",IF($I14&lt;&gt;"","National_A","BLANK")))))</f>
        <v>BLANK</v>
      </c>
      <c r="L14"/>
      <c r="M14"/>
      <c r="N14"/>
      <c r="O14"/>
      <c r="P14"/>
      <c r="Q14"/>
      <c r="R14"/>
      <c r="S14"/>
      <c r="T14"/>
      <c r="V14" s="17" t="s">
        <v>681</v>
      </c>
      <c r="W14" s="17" t="s">
        <v>589</v>
      </c>
      <c r="X14" s="17" t="s">
        <v>589</v>
      </c>
      <c r="Y14" s="18" t="s">
        <v>682</v>
      </c>
      <c r="Z14" s="17">
        <f>IF($Q$24&lt;76,$Q$24,$AA$8)</f>
        <v>0</v>
      </c>
      <c r="AA14" s="17">
        <f>+$Q$24</f>
        <v>0</v>
      </c>
      <c r="AC14" s="39">
        <f>SUM($AC$11:$AC$13)</f>
        <v>3</v>
      </c>
      <c r="AD14" s="17">
        <f>SUM($AD$11:$AD$13)</f>
        <v>0</v>
      </c>
      <c r="AE14" s="19"/>
      <c r="AF14" s="19">
        <f>IF($AF$11=$AG$11,IF($AF$12=$AG$12,IF($AF$13=$AG$13,0,1),1),1)</f>
        <v>0</v>
      </c>
      <c r="AI14" s="17">
        <f>(IF($E$14="x",4,0))</f>
        <v>0</v>
      </c>
      <c r="AJ14" s="17">
        <f>(IF($F$14="x",8,0))</f>
        <v>0</v>
      </c>
      <c r="AK14" s="17">
        <f>(IF($G$14="x",12,0))</f>
        <v>0</v>
      </c>
      <c r="AL14" s="17">
        <f>(IF($H$14="x",16,0))</f>
        <v>0</v>
      </c>
      <c r="AM14" s="17">
        <f>(IF($I$14="x",20,0))</f>
        <v>0</v>
      </c>
      <c r="AN14" s="24">
        <f>SUM($AI$14:$AM$14)</f>
        <v>0</v>
      </c>
      <c r="AO14" s="17">
        <f>IF($E$14="x",4,IF($F$14="x",8,IF($G$14="x",12,IF($H$14="x",16,IF($I$14="x",20,0)))))</f>
        <v>0</v>
      </c>
      <c r="AQ14" s="18">
        <v>7</v>
      </c>
      <c r="AR14" s="19" t="s">
        <v>683</v>
      </c>
      <c r="AS14" s="18">
        <v>30</v>
      </c>
      <c r="AX14" s="17" t="str">
        <f>IF(N15&gt;0,IF(M15&gt;0,AX13,AX15),AX15)</f>
        <v>  ( You Must Figure &amp; put Points in CO Box!)</v>
      </c>
    </row>
    <row r="15" spans="1:50" ht="29.25" customHeight="1">
      <c r="A15" s="316"/>
      <c r="B15" s="959"/>
      <c r="C15" s="960"/>
      <c r="D15" s="961"/>
      <c r="E15" s="142"/>
      <c r="F15" s="299"/>
      <c r="G15" s="140"/>
      <c r="H15" s="140"/>
      <c r="I15" s="141"/>
      <c r="J15" s="85"/>
      <c r="K15" t="str">
        <f t="shared" si="0"/>
        <v>BLANK</v>
      </c>
      <c r="L15"/>
      <c r="M15"/>
      <c r="N15">
        <f>'FFA Leadership 2'!$P$15</f>
        <v>0</v>
      </c>
      <c r="O15"/>
      <c r="P15"/>
      <c r="Q15"/>
      <c r="R15"/>
      <c r="S15"/>
      <c r="T15"/>
      <c r="W15" s="90"/>
      <c r="Y15" s="18" t="s">
        <v>685</v>
      </c>
      <c r="Z15" s="17">
        <f>IF($Q$34&lt;21,$Q$34,$AA$8)</f>
        <v>0</v>
      </c>
      <c r="AA15" s="17">
        <f>$Q$34</f>
        <v>0</v>
      </c>
      <c r="AC15" s="39"/>
      <c r="AE15" s="19"/>
      <c r="AF15" s="19"/>
      <c r="AI15" s="17">
        <f>(IF($E$15="x",4,0))</f>
        <v>0</v>
      </c>
      <c r="AJ15" s="17">
        <f>(IF($F$15="x",8,0))</f>
        <v>0</v>
      </c>
      <c r="AK15" s="17">
        <f>(IF($G$15="x",12,0))</f>
        <v>0</v>
      </c>
      <c r="AL15" s="17">
        <f>(IF($H$15="x",16,0))</f>
        <v>0</v>
      </c>
      <c r="AM15" s="17">
        <f>(IF($I$15="x",20,0))</f>
        <v>0</v>
      </c>
      <c r="AN15" s="24">
        <f>SUM($AI$15:$AM$15)</f>
        <v>0</v>
      </c>
      <c r="AO15" s="17">
        <f>IF($E$15="x",4,IF($F$15="x",8,IF($G$15="x",12,IF($H$15="x",16,IF($I$15="x",20,0)))))</f>
        <v>0</v>
      </c>
      <c r="AQ15" s="18">
        <v>8</v>
      </c>
      <c r="AR15" s="19" t="s">
        <v>686</v>
      </c>
      <c r="AS15" s="18">
        <v>30</v>
      </c>
      <c r="AX15" s="58" t="s">
        <v>687</v>
      </c>
    </row>
    <row r="16" spans="1:45" ht="29.25" customHeight="1">
      <c r="A16" s="316"/>
      <c r="B16" s="959"/>
      <c r="C16" s="960"/>
      <c r="D16" s="961"/>
      <c r="E16" s="142"/>
      <c r="F16" s="140"/>
      <c r="G16" s="299"/>
      <c r="H16" s="140"/>
      <c r="I16" s="141"/>
      <c r="J16" s="85"/>
      <c r="K16" t="str">
        <f t="shared" si="0"/>
        <v>BLANK</v>
      </c>
      <c r="L16"/>
      <c r="M16"/>
      <c r="N16"/>
      <c r="O16"/>
      <c r="P16"/>
      <c r="Q16"/>
      <c r="R16"/>
      <c r="S16"/>
      <c r="T16"/>
      <c r="X16" s="17" t="str">
        <f>IF($AF$14=0,$V$13,$V$14)</f>
        <v> </v>
      </c>
      <c r="Z16" s="17">
        <f>SUM($Z$10:$Z$15)</f>
        <v>0</v>
      </c>
      <c r="AA16" s="17">
        <f>SUM($AA$10:$AA$15)</f>
        <v>0</v>
      </c>
      <c r="AC16" s="39">
        <f>IF($K$22=$AM$25,$AB$8,IF($K$13=$V$18,$AB$8,IF($Z$16=$AA$16,$Z$16,$AB$8)))</f>
        <v>0</v>
      </c>
      <c r="AD16" s="17">
        <f>IF($K$22=$AM$25,$AB$8,IF($K$13=$V$18,$AB$8,IF($AC$16&lt;401,$AC$16,$AB$8)))</f>
        <v>0</v>
      </c>
      <c r="AE16" s="19"/>
      <c r="AF16" s="19"/>
      <c r="AI16" s="17">
        <f>(IF($E$16="x",4,0))</f>
        <v>0</v>
      </c>
      <c r="AJ16" s="17">
        <f>(IF($F$16="x",8,0))</f>
        <v>0</v>
      </c>
      <c r="AK16" s="17">
        <f>(IF($G$16="x",12,0))</f>
        <v>0</v>
      </c>
      <c r="AL16" s="17">
        <f>(IF($H$16="x",16,0))</f>
        <v>0</v>
      </c>
      <c r="AM16" s="17">
        <f>(IF($I$16="x",20,0))</f>
        <v>0</v>
      </c>
      <c r="AN16" s="24">
        <f>SUM($AI$16:$AM$16)</f>
        <v>0</v>
      </c>
      <c r="AO16" s="17">
        <f>IF($E$16="x",4,IF($F$16="x",8,IF($G$16="x",12,IF($H$16="x",16,IF($I$16="x",20,0)))))</f>
        <v>0</v>
      </c>
      <c r="AQ16" s="18">
        <v>9</v>
      </c>
      <c r="AR16" s="19" t="s">
        <v>691</v>
      </c>
      <c r="AS16" s="18">
        <v>30</v>
      </c>
    </row>
    <row r="17" spans="1:45" ht="29.25" customHeight="1">
      <c r="A17" s="316"/>
      <c r="B17" s="959"/>
      <c r="C17" s="960"/>
      <c r="D17" s="961"/>
      <c r="E17" s="142"/>
      <c r="F17" s="140"/>
      <c r="G17" s="140"/>
      <c r="H17" s="299"/>
      <c r="I17" s="315"/>
      <c r="J17" s="85"/>
      <c r="K17" t="str">
        <f t="shared" si="0"/>
        <v>BLANK</v>
      </c>
      <c r="L17"/>
      <c r="M17"/>
      <c r="N17"/>
      <c r="O17"/>
      <c r="P17"/>
      <c r="Q17"/>
      <c r="R17"/>
      <c r="S17"/>
      <c r="T17"/>
      <c r="W17" s="55"/>
      <c r="Z17" s="17">
        <f>IF($AA$17=$AB$17,0,1)</f>
        <v>0</v>
      </c>
      <c r="AA17" s="17">
        <f>COUNTBLANK($A$14:$A$14)</f>
        <v>1</v>
      </c>
      <c r="AB17" s="17">
        <f>COUNTBLANK($B$14:$B$14)</f>
        <v>1</v>
      </c>
      <c r="AE17" s="19"/>
      <c r="AF17" s="19"/>
      <c r="AI17" s="17">
        <f>(IF($E$17="x",4,0))</f>
        <v>0</v>
      </c>
      <c r="AJ17" s="17">
        <f>(IF($F$17="x",8,0))</f>
        <v>0</v>
      </c>
      <c r="AK17" s="17">
        <f>(IF($G$17="x",12,0))</f>
        <v>0</v>
      </c>
      <c r="AL17" s="17">
        <f>(IF($H$17="x",16,0))</f>
        <v>0</v>
      </c>
      <c r="AM17" s="17">
        <f>(IF($I$17="x",20,0))</f>
        <v>0</v>
      </c>
      <c r="AN17" s="24">
        <f>SUM($AI$17:$AM$17)</f>
        <v>0</v>
      </c>
      <c r="AO17" s="17">
        <f>IF($E$17="x",4,IF($F$17="x",8,IF($G$17="x",12,IF($H$17="x",16,IF($I$17="x",20,0)))))</f>
        <v>0</v>
      </c>
      <c r="AQ17" s="18">
        <v>10</v>
      </c>
      <c r="AR17" s="19" t="s">
        <v>692</v>
      </c>
      <c r="AS17" s="18">
        <v>30</v>
      </c>
    </row>
    <row r="18" spans="1:45" ht="29.25" customHeight="1">
      <c r="A18" s="316"/>
      <c r="B18" s="959"/>
      <c r="C18" s="960"/>
      <c r="D18" s="961"/>
      <c r="E18" s="142"/>
      <c r="F18" s="140"/>
      <c r="G18" s="140"/>
      <c r="H18" s="299"/>
      <c r="I18" s="315"/>
      <c r="J18" s="85"/>
      <c r="K18" t="str">
        <f t="shared" si="0"/>
        <v>BLANK</v>
      </c>
      <c r="L18"/>
      <c r="M18"/>
      <c r="N18"/>
      <c r="O18"/>
      <c r="P18"/>
      <c r="Q18"/>
      <c r="R18"/>
      <c r="S18"/>
      <c r="T18"/>
      <c r="U18" s="17">
        <f>5-COUNTBLANK($K$17:$K$21)</f>
        <v>3</v>
      </c>
      <c r="V18" s="17" t="s">
        <v>803</v>
      </c>
      <c r="Z18" s="17">
        <f>IF($AA$18=$AB$18,0,1)</f>
        <v>0</v>
      </c>
      <c r="AA18" s="17">
        <f>COUNTBLANK($A$15:$A$15)</f>
        <v>1</v>
      </c>
      <c r="AB18" s="17">
        <f>COUNTBLANK($B$15:$B$15)</f>
        <v>1</v>
      </c>
      <c r="AE18" s="19" t="s">
        <v>589</v>
      </c>
      <c r="AF18" s="19"/>
      <c r="AI18" s="17">
        <f>(IF($E$18="x",4,0))</f>
        <v>0</v>
      </c>
      <c r="AJ18" s="17">
        <f>(IF($F$18="x",8,0))</f>
        <v>0</v>
      </c>
      <c r="AK18" s="17">
        <f>(IF($G$18="x",12,0))</f>
        <v>0</v>
      </c>
      <c r="AL18" s="17">
        <f>(IF($H$18="x",16,0))</f>
        <v>0</v>
      </c>
      <c r="AM18" s="17">
        <f>(IF($I$18="x",20,0))</f>
        <v>0</v>
      </c>
      <c r="AN18" s="24">
        <f>SUM($AI$18:$AM$18)</f>
        <v>0</v>
      </c>
      <c r="AO18" s="17">
        <f>IF($E$18="x",4,IF($F$18="x",8,IF($G$18="x",12,IF($H$18="x",16,IF($I$18="x",20,0)))))</f>
        <v>0</v>
      </c>
      <c r="AQ18" s="18">
        <v>11</v>
      </c>
      <c r="AR18" s="19" t="s">
        <v>693</v>
      </c>
      <c r="AS18" s="18">
        <v>30</v>
      </c>
    </row>
    <row r="19" spans="1:45" ht="29.25" customHeight="1">
      <c r="A19" s="316"/>
      <c r="B19" s="959"/>
      <c r="C19" s="960"/>
      <c r="D19" s="961"/>
      <c r="E19" s="142"/>
      <c r="F19" s="140"/>
      <c r="G19" s="140"/>
      <c r="H19" s="140"/>
      <c r="I19" s="315"/>
      <c r="J19" s="85"/>
      <c r="K19" t="str">
        <f t="shared" si="0"/>
        <v>BLANK</v>
      </c>
      <c r="L19"/>
      <c r="M19"/>
      <c r="N19"/>
      <c r="O19"/>
      <c r="P19"/>
      <c r="Q19"/>
      <c r="R19"/>
      <c r="S19"/>
      <c r="T19"/>
      <c r="U19" s="17">
        <f>5-COUNTBLANK($L$17:$L$21)</f>
        <v>0</v>
      </c>
      <c r="V19" s="17" t="s">
        <v>589</v>
      </c>
      <c r="W19" s="17">
        <f>IF(COUNTBLANK($K$17)=COUNTBLANK($L$17),0,1)+IF(COUNTBLANK($Q$17:$R$17)=COUNTBLANK($S$17:$T$17),0,1)</f>
        <v>1</v>
      </c>
      <c r="X19" s="17">
        <f>COUNTBLANK($K$17)-(2-(COUNTBLANK($Q$17:$R$17)+COUNTBLANK($S$17:$T$17)))</f>
        <v>2</v>
      </c>
      <c r="Z19" s="17">
        <f>IF($AA$19=$AB$19,0,1)</f>
        <v>0</v>
      </c>
      <c r="AA19" s="17">
        <f>COUNTBLANK($A$16:$A$16)</f>
        <v>1</v>
      </c>
      <c r="AB19" s="17">
        <f>COUNTBLANK($B$16:$B$16)</f>
        <v>1</v>
      </c>
      <c r="AE19" s="22" t="str">
        <f>IF(COUNTBLANK($L$26:$L$31)&lt;6,IF($Q$24=0,"Points Missing",$AE$18),$AE$18)</f>
        <v> </v>
      </c>
      <c r="AF19" s="23"/>
      <c r="AI19" s="17">
        <f>(IF($E$19="x",4,0))</f>
        <v>0</v>
      </c>
      <c r="AJ19" s="17">
        <f>(IF($F$19="x",8,0))</f>
        <v>0</v>
      </c>
      <c r="AK19" s="17">
        <f>(IF($G$19="x",12,0))</f>
        <v>0</v>
      </c>
      <c r="AL19" s="17">
        <f>(IF($H$19="x",16,0))</f>
        <v>0</v>
      </c>
      <c r="AM19" s="17">
        <f>(IF($I$19="x",20,0))</f>
        <v>0</v>
      </c>
      <c r="AN19" s="24">
        <f>SUM($AI$19:$AM$19)</f>
        <v>0</v>
      </c>
      <c r="AO19" s="17">
        <f>IF($E$19="x",4,IF($F$19="x",8,IF($G$19="x",12,IF($H$19="x",16,IF($I$19="x",20,0)))))</f>
        <v>0</v>
      </c>
      <c r="AQ19" s="18">
        <v>12</v>
      </c>
      <c r="AR19" s="19" t="s">
        <v>694</v>
      </c>
      <c r="AS19" s="18">
        <v>30</v>
      </c>
    </row>
    <row r="20" spans="1:45" ht="18" customHeight="1">
      <c r="A20" s="173" t="str">
        <f>$W$25</f>
        <v> </v>
      </c>
      <c r="B20" s="30"/>
      <c r="C20" s="40"/>
      <c r="D20" s="40"/>
      <c r="E20" s="94"/>
      <c r="J20" s="85"/>
      <c r="K20"/>
      <c r="L20"/>
      <c r="M20"/>
      <c r="N20"/>
      <c r="O20"/>
      <c r="P20"/>
      <c r="Q20"/>
      <c r="R20"/>
      <c r="S20"/>
      <c r="T20"/>
      <c r="U20" s="17">
        <f>10-COUNTBLANK($Q$17:$R$21)</f>
        <v>0</v>
      </c>
      <c r="W20" s="17">
        <f>IF(COUNTBLANK($K$18)=COUNTBLANK($L$18),0,1)+IF(COUNTBLANK($Q$18:$R$18)=COUNTBLANK($S$18:$T$18),0,1)</f>
        <v>1</v>
      </c>
      <c r="X20" s="17">
        <f>COUNTBLANK($K$18)-(2-(COUNTBLANK($Q$18:$R$18)+COUNTBLANK($S$18:$T$18)))</f>
        <v>2</v>
      </c>
      <c r="Z20" s="17">
        <f>IF($AA$20=$AB$20,0,1)</f>
        <v>0</v>
      </c>
      <c r="AA20" s="17">
        <f>COUNTBLANK($A$17:$A$17)</f>
        <v>1</v>
      </c>
      <c r="AB20" s="17">
        <f>COUNTBLANK($B$17:$B$17)</f>
        <v>1</v>
      </c>
      <c r="AN20" s="17">
        <f>SUM($AN$14:$AN$19)</f>
        <v>0</v>
      </c>
      <c r="AO20" s="17">
        <f>SUM($AO$14:$AO$19)</f>
        <v>0</v>
      </c>
      <c r="AQ20" s="18">
        <v>13</v>
      </c>
      <c r="AR20" s="19" t="s">
        <v>695</v>
      </c>
      <c r="AS20" s="18">
        <v>30</v>
      </c>
    </row>
    <row r="21" spans="1:45" ht="24" customHeight="1">
      <c r="A21" s="962" t="s">
        <v>696</v>
      </c>
      <c r="B21" s="963"/>
      <c r="C21" s="963"/>
      <c r="D21" s="964"/>
      <c r="E21" s="153" t="s">
        <v>794</v>
      </c>
      <c r="F21" s="154" t="s">
        <v>625</v>
      </c>
      <c r="G21" s="155" t="s">
        <v>796</v>
      </c>
      <c r="H21" s="968" t="s">
        <v>795</v>
      </c>
      <c r="I21" s="969"/>
      <c r="J21" s="82"/>
      <c r="K21"/>
      <c r="L21"/>
      <c r="M21"/>
      <c r="N21"/>
      <c r="O21"/>
      <c r="P21"/>
      <c r="Q21"/>
      <c r="R21"/>
      <c r="S21"/>
      <c r="T21"/>
      <c r="U21" s="17">
        <f>10-COUNTBLANK($S$17:$T$21)</f>
        <v>0</v>
      </c>
      <c r="W21" s="17">
        <f>IF(COUNTBLANK($K$19)=COUNTBLANK($L$19),0,1)+IF(COUNTBLANK($Q$19:$R$19)=COUNTBLANK($S$19:$T$19),0,1)</f>
        <v>1</v>
      </c>
      <c r="X21" s="17">
        <f>COUNTBLANK($K$19)-(2-(COUNTBLANK($Q$19:$R$19)+COUNTBLANK($S$19:$T$19)))</f>
        <v>2</v>
      </c>
      <c r="Z21" s="17">
        <f>IF($AA$21=$AB$21,0,1)</f>
        <v>0</v>
      </c>
      <c r="AA21" s="17">
        <f>COUNTBLANK($A$18:$A$18)</f>
        <v>1</v>
      </c>
      <c r="AB21" s="17">
        <f>COUNTBLANK($B$18:$B$18)</f>
        <v>1</v>
      </c>
      <c r="AN21" s="20">
        <f>IF($AN$20=$AO$20,$AN$20,$AJ$23)</f>
        <v>0</v>
      </c>
      <c r="AO21" s="17">
        <f>IF($A$10=$V$28,"ERR",$AN$22)</f>
        <v>0</v>
      </c>
      <c r="AQ21" s="18">
        <v>14</v>
      </c>
      <c r="AR21" s="19" t="s">
        <v>697</v>
      </c>
      <c r="AS21" s="18">
        <v>15</v>
      </c>
    </row>
    <row r="22" spans="1:50" ht="21" customHeight="1">
      <c r="A22" s="965"/>
      <c r="B22" s="966"/>
      <c r="C22" s="966"/>
      <c r="D22" s="967"/>
      <c r="E22" s="76">
        <f>$AJ$43</f>
        <v>0</v>
      </c>
      <c r="F22" s="29">
        <f>$AJ$44</f>
        <v>0</v>
      </c>
      <c r="G22" s="29"/>
      <c r="H22" s="119"/>
      <c r="I22" s="120"/>
      <c r="J22" s="82"/>
      <c r="K22" s="17">
        <f>10-COUNTBLANK($G$19:$H$23)</f>
        <v>4</v>
      </c>
      <c r="L22"/>
      <c r="M22"/>
      <c r="N22"/>
      <c r="O22"/>
      <c r="P22"/>
      <c r="Q22"/>
      <c r="R22"/>
      <c r="S22"/>
      <c r="T22"/>
      <c r="W22" s="17">
        <f>IF(COUNTBLANK($K$20)=COUNTBLANK($L$20),0,1)+IF(COUNTBLANK($Q$20:$R$20)=COUNTBLANK($S$20:$T$20),0,1)</f>
        <v>0</v>
      </c>
      <c r="X22" s="17">
        <f>COUNTBLANK($K$20)-(2-(COUNTBLANK($Q$20:$R$20)+COUNTBLANK($S$20:$T$20)))</f>
        <v>3</v>
      </c>
      <c r="Z22" s="17">
        <f>IF($AA$22=$AB$22,0,1)</f>
        <v>0</v>
      </c>
      <c r="AA22" s="17">
        <f>COUNTBLANK($A$19:$A$19)</f>
        <v>1</v>
      </c>
      <c r="AB22" s="17">
        <f>COUNTBLANK($B$19:$B$19)</f>
        <v>1</v>
      </c>
      <c r="AD22" s="17">
        <f>3-(IF($AC$11&lt;2,0,1)+IF($AC$12&lt;2,0,1)+IF($AC$13&lt;2,0,1))</f>
        <v>3</v>
      </c>
      <c r="AN22" s="20">
        <f>IF($AN$21&lt;75,$AN$21,IF($AN$21="ERR","ERR",75))</f>
        <v>0</v>
      </c>
      <c r="AO22" s="17">
        <f>IF($A$10=$V$28,"ERR",$AN$22)</f>
        <v>0</v>
      </c>
      <c r="AQ22" s="18">
        <v>15</v>
      </c>
      <c r="AR22" s="19" t="s">
        <v>698</v>
      </c>
      <c r="AS22" s="18">
        <v>15</v>
      </c>
      <c r="AX22" s="17" t="s">
        <v>589</v>
      </c>
    </row>
    <row r="23" spans="1:50" ht="19.5" customHeight="1">
      <c r="A23" s="149" t="s">
        <v>642</v>
      </c>
      <c r="B23" s="151" t="s">
        <v>699</v>
      </c>
      <c r="C23" s="32"/>
      <c r="D23" s="32"/>
      <c r="E23" s="143" t="s">
        <v>674</v>
      </c>
      <c r="F23" s="143" t="s">
        <v>627</v>
      </c>
      <c r="G23" s="143" t="s">
        <v>675</v>
      </c>
      <c r="H23" s="143" t="s">
        <v>631</v>
      </c>
      <c r="I23" s="144" t="s">
        <v>676</v>
      </c>
      <c r="J23" s="82"/>
      <c r="K23"/>
      <c r="L23"/>
      <c r="M23"/>
      <c r="N23"/>
      <c r="O23"/>
      <c r="P23"/>
      <c r="Q23"/>
      <c r="R23"/>
      <c r="S23"/>
      <c r="T23"/>
      <c r="U23" s="17" t="str">
        <f>IF($W$23=0,IF($U$18=$U$19,IF($U$19=$U$20,IF($U$20=$U$21,$V$19,$V$18),$V$18),$V$18),$V$18)</f>
        <v>MISSING YEAR, COMMITTEE OR TWO X'S - Table D!</v>
      </c>
      <c r="W23" s="17">
        <f>SUM($W$19:$W$22)</f>
        <v>3</v>
      </c>
      <c r="X23" s="17">
        <f>COUNTBLANK($K$21)-(2-(COUNTBLANK($Q$21:$R$21)+COUNTBLANK($S$21:$T$21)))</f>
        <v>3</v>
      </c>
      <c r="Z23" s="17">
        <f>SUM($Z$17:$Z$22)</f>
        <v>0</v>
      </c>
      <c r="AJ23" s="20" t="s">
        <v>700</v>
      </c>
      <c r="AN23" s="17">
        <f>IF($AO$21="ERR","ERR",$AN$21)</f>
        <v>0</v>
      </c>
      <c r="AQ23" s="18">
        <v>16</v>
      </c>
      <c r="AR23" s="19" t="s">
        <v>701</v>
      </c>
      <c r="AS23" s="18">
        <v>15</v>
      </c>
      <c r="AX23" s="17" t="str">
        <f>IF($Q$24&gt;0,IF($P$24&gt;0,$AX$25,$AX$24),$AX$24)</f>
        <v>    (You Must Figure &amp; put Points in CO Box!)</v>
      </c>
    </row>
    <row r="24" spans="1:65" ht="18" customHeight="1">
      <c r="A24" s="316"/>
      <c r="B24" s="954"/>
      <c r="C24" s="955"/>
      <c r="D24" s="956"/>
      <c r="E24" s="299"/>
      <c r="F24" s="299"/>
      <c r="G24" s="299"/>
      <c r="H24" s="299"/>
      <c r="I24" s="315"/>
      <c r="J24" s="82"/>
      <c r="K24" t="str">
        <f>IF($E24&lt;&gt;"","Chapter",IF($F24&lt;&gt;"","Area",IF($G24&lt;&gt;"","District",IF($H24&lt;&gt;"","State",IF($I24&lt;&gt;"","National","BLANK")))))</f>
        <v>BLANK</v>
      </c>
      <c r="L24"/>
      <c r="M24"/>
      <c r="N24"/>
      <c r="O24"/>
      <c r="P24"/>
      <c r="Q24">
        <f>'FFA Leadership 2'!$P$16</f>
        <v>0</v>
      </c>
      <c r="R24"/>
      <c r="S24"/>
      <c r="T24"/>
      <c r="V24" s="17" t="s">
        <v>804</v>
      </c>
      <c r="W24" s="17" t="s">
        <v>589</v>
      </c>
      <c r="Z24" s="17">
        <f>IF($AA$24=$AB$24,0,1)</f>
        <v>0</v>
      </c>
      <c r="AA24" s="17">
        <f>COUNTBLANK($A$24:$A$24)</f>
        <v>1</v>
      </c>
      <c r="AB24" s="17">
        <f>COUNTBLANK($B$24:$B$24)</f>
        <v>1</v>
      </c>
      <c r="AC24" s="17">
        <f>IF($E$24="x",2,0)</f>
        <v>0</v>
      </c>
      <c r="AD24" s="17">
        <f>IF($F$24="x",4,0)</f>
        <v>0</v>
      </c>
      <c r="AE24" s="17">
        <f>IF($G$24="x",6,0)</f>
        <v>0</v>
      </c>
      <c r="AF24" s="17">
        <f>IF($H$24="x",8,0)</f>
        <v>0</v>
      </c>
      <c r="AG24" s="17">
        <f>IF($I$24="x",10,0)</f>
        <v>0</v>
      </c>
      <c r="AH24" s="17">
        <f>SUM($AC$24:$AG$24)</f>
        <v>0</v>
      </c>
      <c r="AI24" s="17">
        <f>IF($E$24="x",2,IF($F$24="x",4,IF($G$24="x",6,IF($H$24="x",8,IF($I$24="x",10,0)))))</f>
        <v>0</v>
      </c>
      <c r="AJ24" s="17">
        <f>IF($AH$24=$AI$24,+$AI$24,+$AJ$23)</f>
        <v>0</v>
      </c>
      <c r="AM24" s="17" t="s">
        <v>589</v>
      </c>
      <c r="AN24" s="17" t="s">
        <v>589</v>
      </c>
      <c r="AQ24" s="18">
        <v>17</v>
      </c>
      <c r="AR24" s="19" t="s">
        <v>702</v>
      </c>
      <c r="AS24" s="18">
        <v>15</v>
      </c>
      <c r="AX24" s="59" t="s">
        <v>703</v>
      </c>
      <c r="BB24" s="957" t="s">
        <v>1039</v>
      </c>
      <c r="BC24" s="957"/>
      <c r="BD24" s="957"/>
      <c r="BE24" s="957"/>
      <c r="BF24" s="957"/>
      <c r="BI24" s="951" t="s">
        <v>1283</v>
      </c>
      <c r="BJ24" s="952"/>
      <c r="BK24" s="952"/>
      <c r="BL24" s="952"/>
      <c r="BM24" s="953"/>
    </row>
    <row r="25" spans="1:65" ht="18" customHeight="1">
      <c r="A25" s="316"/>
      <c r="B25" s="954"/>
      <c r="C25" s="955"/>
      <c r="D25" s="956"/>
      <c r="E25" s="140"/>
      <c r="F25" s="299"/>
      <c r="G25" s="299"/>
      <c r="H25" s="299"/>
      <c r="I25" s="141"/>
      <c r="J25" s="82"/>
      <c r="K25" t="str">
        <f aca="true" t="shared" si="1" ref="K25:K40">IF($E25&lt;&gt;"","Chapter",IF($F25&lt;&gt;"","Area",IF($G25&lt;&gt;"","District",IF($H25&lt;&gt;"","State",IF($I25&lt;&gt;"","National","BLANK")))))</f>
        <v>BLANK</v>
      </c>
      <c r="L25"/>
      <c r="M25"/>
      <c r="N25"/>
      <c r="O25"/>
      <c r="P25"/>
      <c r="Q25"/>
      <c r="R25"/>
      <c r="S25"/>
      <c r="T25"/>
      <c r="V25" s="17">
        <f>(68+COUNTBLANK($A$24:$A$40))</f>
        <v>85</v>
      </c>
      <c r="W25" s="90" t="str">
        <f>IF($Z$41=0,IF($V$25=$V$26,IF($V$25=$X$25,$W$24,$V$24),$V$24),$V$24)</f>
        <v> </v>
      </c>
      <c r="X25" s="17">
        <f>COUNTBLANK($E$24:$E$40)+COUNTBLANK($F$24:$F$40)+COUNTBLANK($G$24:$G$40)+COUNTBLANK($H$24:$H$40)+COUNTBLANK($I$24:$I$40)</f>
        <v>85</v>
      </c>
      <c r="Z25" s="17">
        <f>IF($AA$25=$AB$25,0,1)</f>
        <v>0</v>
      </c>
      <c r="AA25" s="17">
        <f>COUNTBLANK($A$25:$A$25)</f>
        <v>1</v>
      </c>
      <c r="AB25" s="17">
        <f>COUNTBLANK($B$25:$B$25)</f>
        <v>1</v>
      </c>
      <c r="AC25" s="17">
        <f>IF($E$25="x",2,0)</f>
        <v>0</v>
      </c>
      <c r="AD25" s="17">
        <f>IF($F$25="x",4,0)</f>
        <v>0</v>
      </c>
      <c r="AE25" s="17">
        <f>IF($G$25="x",6,0)</f>
        <v>0</v>
      </c>
      <c r="AF25" s="17">
        <f>IF($H$25="x",8,0)</f>
        <v>0</v>
      </c>
      <c r="AG25" s="17">
        <f>IF($I$25="x",10,0)</f>
        <v>0</v>
      </c>
      <c r="AH25" s="17">
        <f>SUM($AC$25:$AG$25)</f>
        <v>0</v>
      </c>
      <c r="AI25" s="17">
        <f>IF($E$25="x",2,IF($F$25="x",4,IF($G$25="x",6,IF($H$25="x",8,IF($I$25="x",10,0)))))</f>
        <v>0</v>
      </c>
      <c r="AJ25" s="17">
        <f>IF($AH$25=$AI$25,+$AI$25,+$AJ$23)</f>
        <v>0</v>
      </c>
      <c r="AM25" s="17" t="s">
        <v>705</v>
      </c>
      <c r="AQ25" s="18">
        <v>18</v>
      </c>
      <c r="AR25" s="19" t="s">
        <v>706</v>
      </c>
      <c r="AS25" s="18">
        <v>15</v>
      </c>
      <c r="AX25" s="17" t="s">
        <v>589</v>
      </c>
      <c r="BB25" s="301" t="s">
        <v>1040</v>
      </c>
      <c r="BC25" s="301" t="s">
        <v>1041</v>
      </c>
      <c r="BD25" s="301" t="s">
        <v>1042</v>
      </c>
      <c r="BE25" s="300" t="s">
        <v>584</v>
      </c>
      <c r="BF25" s="302" t="s">
        <v>1043</v>
      </c>
      <c r="BI25" s="687" t="s">
        <v>1301</v>
      </c>
      <c r="BJ25" s="687" t="s">
        <v>1303</v>
      </c>
      <c r="BK25" s="687" t="s">
        <v>1308</v>
      </c>
      <c r="BL25" s="687" t="s">
        <v>1317</v>
      </c>
      <c r="BM25" s="687" t="s">
        <v>1347</v>
      </c>
    </row>
    <row r="26" spans="1:65" ht="18" customHeight="1">
      <c r="A26" s="316"/>
      <c r="B26" s="954"/>
      <c r="C26" s="955"/>
      <c r="D26" s="956"/>
      <c r="E26" s="140"/>
      <c r="F26" s="299"/>
      <c r="G26" s="299"/>
      <c r="H26" s="299"/>
      <c r="I26" s="141"/>
      <c r="J26" s="82"/>
      <c r="K26" t="str">
        <f t="shared" si="1"/>
        <v>BLANK</v>
      </c>
      <c r="L26"/>
      <c r="M26"/>
      <c r="N26"/>
      <c r="O26"/>
      <c r="P26"/>
      <c r="Q26"/>
      <c r="R26"/>
      <c r="S26"/>
      <c r="T26"/>
      <c r="V26" s="17">
        <f>68+COUNTBLANK($B$24:$B$40)</f>
        <v>85</v>
      </c>
      <c r="Z26" s="17">
        <f>IF($AA$26=$AB$26,0,1)</f>
        <v>0</v>
      </c>
      <c r="AA26" s="17">
        <f>COUNTBLANK($A$26:$A$26)</f>
        <v>1</v>
      </c>
      <c r="AB26" s="17">
        <f>COUNTBLANK($B$26:$B$26)</f>
        <v>1</v>
      </c>
      <c r="AC26" s="17">
        <f>IF($E$26="x",2,0)</f>
        <v>0</v>
      </c>
      <c r="AD26" s="17">
        <f>IF($F$26="x",4,0)</f>
        <v>0</v>
      </c>
      <c r="AE26" s="17">
        <f>IF(G26="x",6,0)</f>
        <v>0</v>
      </c>
      <c r="AF26" s="17">
        <f>IF($H$26="x",8,0)</f>
        <v>0</v>
      </c>
      <c r="AG26" s="17">
        <f>IF($I$26="x",10,0)</f>
        <v>0</v>
      </c>
      <c r="AH26" s="17">
        <f>SUM($AC$26:$AG$26)</f>
        <v>0</v>
      </c>
      <c r="AI26" s="17">
        <f>IF($E$26="x",2,IF($F$26="x",4,IF($G$26="x",6,IF($H$26="x",8,IF($I$26="x",10,0)))))</f>
        <v>0</v>
      </c>
      <c r="AJ26" s="17">
        <f>IF($AH$26=$AI$26,+$AI$26,+$AJ$23)</f>
        <v>0</v>
      </c>
      <c r="AM26" s="17">
        <f>(18+COUNTBLANK($L$26:$L$31))</f>
        <v>24</v>
      </c>
      <c r="AN26" s="17">
        <f>COUNTBLANK($Q$26:$Q$31)+COUNTBLANK($R$26:$R$31)+COUNTBLANK($S$26:$S$31)+COUNTBLANK($T$26:$T$31)</f>
        <v>24</v>
      </c>
      <c r="AP26" s="17">
        <f>IF($AT$24=$AU$24,0,1)</f>
        <v>0</v>
      </c>
      <c r="AQ26" s="18">
        <v>19</v>
      </c>
      <c r="AR26" s="19" t="s">
        <v>707</v>
      </c>
      <c r="AS26" s="18">
        <v>15</v>
      </c>
      <c r="AT26" s="17">
        <f>COUNTBLANK($K$26:$K$26)</f>
        <v>0</v>
      </c>
      <c r="AU26" s="17">
        <f>COUNTBLANK($L$26:$L$26)</f>
        <v>1</v>
      </c>
      <c r="BB26" s="303" t="s">
        <v>1044</v>
      </c>
      <c r="BC26" s="303" t="s">
        <v>1045</v>
      </c>
      <c r="BD26" s="303" t="s">
        <v>1046</v>
      </c>
      <c r="BE26" s="303" t="s">
        <v>1047</v>
      </c>
      <c r="BF26" s="304"/>
      <c r="BI26" s="314" t="s">
        <v>1319</v>
      </c>
      <c r="BJ26" s="314" t="s">
        <v>1318</v>
      </c>
      <c r="BK26" s="314" t="s">
        <v>1309</v>
      </c>
      <c r="BL26" s="314" t="s">
        <v>1320</v>
      </c>
      <c r="BM26" s="314" t="s">
        <v>1348</v>
      </c>
    </row>
    <row r="27" spans="1:65" ht="18" customHeight="1">
      <c r="A27" s="316"/>
      <c r="B27" s="954"/>
      <c r="C27" s="955"/>
      <c r="D27" s="956"/>
      <c r="E27" s="140"/>
      <c r="F27" s="140"/>
      <c r="G27" s="140"/>
      <c r="H27" s="299"/>
      <c r="I27" s="315"/>
      <c r="J27" s="82"/>
      <c r="K27" t="str">
        <f t="shared" si="1"/>
        <v>BLANK</v>
      </c>
      <c r="L27"/>
      <c r="M27"/>
      <c r="N27"/>
      <c r="O27"/>
      <c r="P27"/>
      <c r="Q27"/>
      <c r="R27"/>
      <c r="S27"/>
      <c r="T27"/>
      <c r="Z27" s="17">
        <f>IF($AA$27=$AB$27,0,1)</f>
        <v>0</v>
      </c>
      <c r="AA27" s="17">
        <f>COUNTBLANK($A$27:$A$27)</f>
        <v>1</v>
      </c>
      <c r="AB27" s="17">
        <f>COUNTBLANK($B$27:$B$27)</f>
        <v>1</v>
      </c>
      <c r="AC27" s="17">
        <f>IF($E$27="x",2,0)</f>
        <v>0</v>
      </c>
      <c r="AD27" s="17">
        <f>IF($F$27="x",4,0)</f>
        <v>0</v>
      </c>
      <c r="AE27" s="17">
        <f>IF($G$27="x",6,0)</f>
        <v>0</v>
      </c>
      <c r="AF27" s="17">
        <f>IF($H$27="x",8,0)</f>
        <v>0</v>
      </c>
      <c r="AG27" s="17">
        <f>IF($I$27="x",10,0)</f>
        <v>0</v>
      </c>
      <c r="AH27" s="17">
        <f>SUM($AC$27:$AG$27)</f>
        <v>0</v>
      </c>
      <c r="AI27" s="17">
        <f>IF($E$27="x",2,IF($F$27="x",4,IF($G$27="x",6,IF($H$27="x",8,IF($I$27="x",10,0)))))</f>
        <v>0</v>
      </c>
      <c r="AJ27" s="17">
        <f>IF($AH$27=$AI$27,+$AI$27,+$AJ$23)</f>
        <v>0</v>
      </c>
      <c r="AM27" s="17">
        <f>18+COUNTBLANK($K$26:$K$31)</f>
        <v>18</v>
      </c>
      <c r="AN27" s="17" t="str">
        <f>IF($AP$32=0,IF($AM$27=$AM$26,IF($AM$27=$AN$26,$AM$24,$AM$25),$AM$25),$AM$25)</f>
        <v>MISSING YEAR, Team or Individual, X, or Two X's in a ROW!</v>
      </c>
      <c r="AP27" s="17">
        <f>IF($AT$25=$AU$25,0,1)</f>
        <v>0</v>
      </c>
      <c r="AQ27" s="18">
        <v>20</v>
      </c>
      <c r="AR27" s="19" t="s">
        <v>708</v>
      </c>
      <c r="AS27" s="18">
        <v>15</v>
      </c>
      <c r="AT27" s="17">
        <f>COUNTBLANK($K$27:$K$27)</f>
        <v>0</v>
      </c>
      <c r="AU27" s="17">
        <f>COUNTBLANK($L$27:$L$27)</f>
        <v>1</v>
      </c>
      <c r="BB27" s="303" t="s">
        <v>1048</v>
      </c>
      <c r="BC27" s="303" t="s">
        <v>1049</v>
      </c>
      <c r="BD27" s="742" t="s">
        <v>1455</v>
      </c>
      <c r="BE27" s="303" t="s">
        <v>1051</v>
      </c>
      <c r="BF27" s="304"/>
      <c r="BI27" s="314" t="s">
        <v>1285</v>
      </c>
      <c r="BJ27" s="314" t="s">
        <v>1453</v>
      </c>
      <c r="BK27" s="314" t="s">
        <v>1373</v>
      </c>
      <c r="BL27" s="314" t="s">
        <v>1321</v>
      </c>
      <c r="BM27" s="314" t="s">
        <v>1350</v>
      </c>
    </row>
    <row r="28" spans="1:65" ht="18" customHeight="1">
      <c r="A28" s="316"/>
      <c r="B28" s="954"/>
      <c r="C28" s="955"/>
      <c r="D28" s="956"/>
      <c r="E28" s="140"/>
      <c r="F28" s="140"/>
      <c r="G28" s="140"/>
      <c r="H28" s="140"/>
      <c r="I28" s="315"/>
      <c r="J28" s="82"/>
      <c r="K28" t="str">
        <f t="shared" si="1"/>
        <v>BLANK</v>
      </c>
      <c r="L28"/>
      <c r="M28"/>
      <c r="N28"/>
      <c r="O28"/>
      <c r="P28"/>
      <c r="Q28"/>
      <c r="R28"/>
      <c r="S28"/>
      <c r="T28"/>
      <c r="V28" s="17" t="s">
        <v>709</v>
      </c>
      <c r="W28" s="17" t="s">
        <v>589</v>
      </c>
      <c r="Z28" s="17">
        <f>IF($AA$28=$AB$28,0,1)</f>
        <v>0</v>
      </c>
      <c r="AA28" s="17">
        <f>COUNTBLANK($A$28:$A$28)</f>
        <v>1</v>
      </c>
      <c r="AB28" s="17">
        <f>COUNTBLANK($B$28:$B$28)</f>
        <v>1</v>
      </c>
      <c r="AC28" s="17">
        <f>IF($E$28="x",2,0)</f>
        <v>0</v>
      </c>
      <c r="AD28" s="17">
        <f>IF($F$28="x",4,0)</f>
        <v>0</v>
      </c>
      <c r="AE28" s="17">
        <f>IF($G$28="x",6,0)</f>
        <v>0</v>
      </c>
      <c r="AF28" s="17">
        <f>IF($H$28="x",8,0)</f>
        <v>0</v>
      </c>
      <c r="AG28" s="17">
        <f>IF($I$28="x",10,0)</f>
        <v>0</v>
      </c>
      <c r="AH28" s="17">
        <f>SUM($AC$28:$AG$28)</f>
        <v>0</v>
      </c>
      <c r="AI28" s="17">
        <f>IF($E$28="x",2,IF($F$28="x",4,IF($G$28="x",6,IF($H$28="x",8,IF($I$28="x",10,0)))))</f>
        <v>0</v>
      </c>
      <c r="AJ28" s="17">
        <f>IF($AH$28=$AI$28,+$AI$28,+$AJ$23)</f>
        <v>0</v>
      </c>
      <c r="AP28" s="17">
        <f>IF($AT$26=$AU$26,0,1)</f>
        <v>1</v>
      </c>
      <c r="AQ28" s="18">
        <v>21</v>
      </c>
      <c r="AR28" s="19" t="s">
        <v>710</v>
      </c>
      <c r="AS28" s="18">
        <v>15</v>
      </c>
      <c r="AT28" s="17">
        <f>COUNTBLANK($K$28:$K$28)</f>
        <v>0</v>
      </c>
      <c r="AU28" s="17">
        <f>COUNTBLANK($L$28:$L$28)</f>
        <v>1</v>
      </c>
      <c r="BB28" s="303" t="s">
        <v>1211</v>
      </c>
      <c r="BC28" s="303" t="s">
        <v>1053</v>
      </c>
      <c r="BD28" s="303" t="s">
        <v>1050</v>
      </c>
      <c r="BE28" s="303" t="s">
        <v>1055</v>
      </c>
      <c r="BF28" s="304"/>
      <c r="BI28" s="314" t="s">
        <v>1284</v>
      </c>
      <c r="BJ28" s="314" t="s">
        <v>1304</v>
      </c>
      <c r="BK28" s="314" t="s">
        <v>1374</v>
      </c>
      <c r="BL28" s="314" t="s">
        <v>1322</v>
      </c>
      <c r="BM28" s="314" t="s">
        <v>1349</v>
      </c>
    </row>
    <row r="29" spans="1:65" ht="18" customHeight="1">
      <c r="A29" s="148"/>
      <c r="B29" s="954"/>
      <c r="C29" s="955"/>
      <c r="D29" s="956"/>
      <c r="E29" s="140"/>
      <c r="F29" s="140"/>
      <c r="G29" s="140"/>
      <c r="H29" s="140"/>
      <c r="I29" s="141"/>
      <c r="J29" s="82"/>
      <c r="K29" t="str">
        <f t="shared" si="1"/>
        <v>BLANK</v>
      </c>
      <c r="L29"/>
      <c r="M29"/>
      <c r="N29"/>
      <c r="O29"/>
      <c r="P29"/>
      <c r="Q29"/>
      <c r="R29"/>
      <c r="S29"/>
      <c r="T29"/>
      <c r="V29" s="17">
        <f>24+COUNTBLANK($A$14:$A$19)</f>
        <v>30</v>
      </c>
      <c r="W29" s="90" t="str">
        <f>IF($Z$23=0,IF($V$29=$V$30,IF($V$29=$X$29,$W$28,$V$28),$V$28),$V$28)</f>
        <v> </v>
      </c>
      <c r="X29" s="17">
        <f>COUNTBLANK($E$14:$E$19)+COUNTBLANK($F$14:$F$19)+COUNTBLANK($G$14:$G$19)+COUNTBLANK($H$14:$H$19)+COUNTBLANK($I$14:$I$19)</f>
        <v>30</v>
      </c>
      <c r="Z29" s="17">
        <f>IF($AA$29=$AB$29,0,1)</f>
        <v>0</v>
      </c>
      <c r="AA29" s="17">
        <f>COUNTBLANK($A$29:$A$29)</f>
        <v>1</v>
      </c>
      <c r="AB29" s="17">
        <f>COUNTBLANK($B$29:$B$29)</f>
        <v>1</v>
      </c>
      <c r="AC29" s="17">
        <f>IF($E$29="x",2,0)</f>
        <v>0</v>
      </c>
      <c r="AD29" s="17">
        <f>IF($F$29="x",4,0)</f>
        <v>0</v>
      </c>
      <c r="AE29" s="17">
        <f>IF($G$29="x",6,0)</f>
        <v>0</v>
      </c>
      <c r="AF29" s="17">
        <f>IF($H$29="x",8,0)</f>
        <v>0</v>
      </c>
      <c r="AG29" s="17">
        <f>IF($I$29="x",10,0)</f>
        <v>0</v>
      </c>
      <c r="AH29" s="17">
        <f>SUM($AC$29:$AG$29)</f>
        <v>0</v>
      </c>
      <c r="AI29" s="17">
        <f>IF($E$29="x",2,IF($F$29="x",4,IF($G$29="x",6,IF($H$29="x",8,IF($I$29="x",10,0)))))</f>
        <v>0</v>
      </c>
      <c r="AJ29" s="17">
        <f>IF($AH$29=$AI$29,+$AI$29,+$AJ$23)</f>
        <v>0</v>
      </c>
      <c r="AP29" s="17">
        <f>IF($AT$27=$AU$27,0,1)</f>
        <v>1</v>
      </c>
      <c r="AQ29" s="18">
        <v>22</v>
      </c>
      <c r="AR29" s="19" t="s">
        <v>711</v>
      </c>
      <c r="AS29" s="18">
        <v>15</v>
      </c>
      <c r="AT29" s="17">
        <f>COUNTBLANK($K$29:$K$29)</f>
        <v>0</v>
      </c>
      <c r="AU29" s="17">
        <f>COUNTBLANK($L$29:$L$29)</f>
        <v>1</v>
      </c>
      <c r="BB29" s="303" t="s">
        <v>1052</v>
      </c>
      <c r="BC29" s="303" t="s">
        <v>1176</v>
      </c>
      <c r="BD29" s="303" t="s">
        <v>1054</v>
      </c>
      <c r="BE29" s="303" t="s">
        <v>1058</v>
      </c>
      <c r="BF29" s="304"/>
      <c r="BI29" s="314" t="s">
        <v>1286</v>
      </c>
      <c r="BJ29" s="314" t="s">
        <v>1305</v>
      </c>
      <c r="BK29" s="314" t="s">
        <v>1452</v>
      </c>
      <c r="BL29" s="331" t="s">
        <v>1448</v>
      </c>
      <c r="BM29" s="314" t="s">
        <v>1351</v>
      </c>
    </row>
    <row r="30" spans="1:65" ht="18" customHeight="1">
      <c r="A30" s="148"/>
      <c r="B30" s="954"/>
      <c r="C30" s="955"/>
      <c r="D30" s="956"/>
      <c r="E30" s="140"/>
      <c r="F30" s="140"/>
      <c r="G30" s="140"/>
      <c r="H30" s="140"/>
      <c r="I30" s="141"/>
      <c r="J30" s="82"/>
      <c r="K30" t="str">
        <f t="shared" si="1"/>
        <v>BLANK</v>
      </c>
      <c r="L30"/>
      <c r="M30"/>
      <c r="N30"/>
      <c r="O30"/>
      <c r="P30"/>
      <c r="Q30"/>
      <c r="R30"/>
      <c r="S30"/>
      <c r="T30"/>
      <c r="V30" s="17">
        <f>24+COUNTBLANK($B$14:$B$19)</f>
        <v>30</v>
      </c>
      <c r="Z30" s="17">
        <f>IF($AA$30=$AB$30,0,1)</f>
        <v>0</v>
      </c>
      <c r="AA30" s="17">
        <f>COUNTBLANK($A$30:$A$30)</f>
        <v>1</v>
      </c>
      <c r="AB30" s="17">
        <f>COUNTBLANK($B$30:$B$30)</f>
        <v>1</v>
      </c>
      <c r="AC30" s="17">
        <f>IF($E$30="x",2,0)</f>
        <v>0</v>
      </c>
      <c r="AD30" s="17">
        <f>IF($F$30="x",4,0)</f>
        <v>0</v>
      </c>
      <c r="AE30" s="17">
        <f>IF($G$30="x",6,0)</f>
        <v>0</v>
      </c>
      <c r="AF30" s="17">
        <f>IF($H$30="x",8,0)</f>
        <v>0</v>
      </c>
      <c r="AG30" s="17">
        <f>IF($I$30="x",10,0)</f>
        <v>0</v>
      </c>
      <c r="AH30" s="17">
        <f>SUM($AC$30:$AG$30)</f>
        <v>0</v>
      </c>
      <c r="AI30" s="17">
        <f>IF($E$30="x",2,IF($F$30="x",4,IF($G$30="x",6,IF($H$30="x",8,IF($I$30="x",10,0)))))</f>
        <v>0</v>
      </c>
      <c r="AJ30" s="17">
        <f>IF($AH$30=$AI$30,+$AI$30,+$AJ$23)</f>
        <v>0</v>
      </c>
      <c r="AP30" s="17">
        <f>IF($AT$28=$AU$28,0,1)</f>
        <v>1</v>
      </c>
      <c r="AQ30" s="18">
        <v>23</v>
      </c>
      <c r="AR30" s="19" t="s">
        <v>712</v>
      </c>
      <c r="AS30" s="18">
        <v>15</v>
      </c>
      <c r="AT30" s="17">
        <f>COUNTBLANK($K$30:$K$30)</f>
        <v>0</v>
      </c>
      <c r="AU30" s="17">
        <f>COUNTBLANK($L$30:$L$30)</f>
        <v>1</v>
      </c>
      <c r="BB30" s="303" t="s">
        <v>1177</v>
      </c>
      <c r="BC30" s="303" t="s">
        <v>1056</v>
      </c>
      <c r="BD30" s="303" t="s">
        <v>1057</v>
      </c>
      <c r="BE30" s="303" t="s">
        <v>1062</v>
      </c>
      <c r="BF30" s="304"/>
      <c r="BI30" s="314" t="s">
        <v>1287</v>
      </c>
      <c r="BJ30" s="314" t="s">
        <v>1306</v>
      </c>
      <c r="BK30" s="314" t="s">
        <v>1313</v>
      </c>
      <c r="BL30" s="314" t="s">
        <v>1323</v>
      </c>
      <c r="BM30" s="314" t="s">
        <v>1352</v>
      </c>
    </row>
    <row r="31" spans="1:65" ht="18" customHeight="1">
      <c r="A31" s="148"/>
      <c r="B31" s="954"/>
      <c r="C31" s="955"/>
      <c r="D31" s="956"/>
      <c r="E31" s="140"/>
      <c r="F31" s="140"/>
      <c r="G31" s="140"/>
      <c r="H31" s="140"/>
      <c r="I31" s="141"/>
      <c r="J31" s="85"/>
      <c r="K31" t="str">
        <f t="shared" si="1"/>
        <v>BLANK</v>
      </c>
      <c r="L31"/>
      <c r="M31"/>
      <c r="N31"/>
      <c r="O31"/>
      <c r="P31"/>
      <c r="Q31"/>
      <c r="R31"/>
      <c r="S31"/>
      <c r="T31"/>
      <c r="Z31" s="17">
        <f>IF($AA$31=$AB$31,0,1)</f>
        <v>0</v>
      </c>
      <c r="AA31" s="17">
        <f>COUNTBLANK($A$31:$A$31)</f>
        <v>1</v>
      </c>
      <c r="AB31" s="17">
        <f>COUNTBLANK($B$31:$B$31)</f>
        <v>1</v>
      </c>
      <c r="AC31" s="17">
        <f>IF($E$31="x",2,0)</f>
        <v>0</v>
      </c>
      <c r="AD31" s="17">
        <f>IF($F$31="x",4,0)</f>
        <v>0</v>
      </c>
      <c r="AE31" s="17">
        <f>IF($G$31="x",6,0)</f>
        <v>0</v>
      </c>
      <c r="AF31" s="17">
        <f>IF($H$31="x",8,0)</f>
        <v>0</v>
      </c>
      <c r="AG31" s="17">
        <f>IF($I$31="x",10,0)</f>
        <v>0</v>
      </c>
      <c r="AH31" s="17">
        <f>SUM($AC$31:$AG$31)</f>
        <v>0</v>
      </c>
      <c r="AI31" s="17">
        <f>IF($E$31="x",2,IF($F$31="x",4,IF($G$31="x",6,IF($H$31="x",8,IF($I$31="x",10,0)))))</f>
        <v>0</v>
      </c>
      <c r="AJ31" s="17">
        <f>IF($AH$31=$AI$31,+$AI$31,+$AJ$23)</f>
        <v>0</v>
      </c>
      <c r="AP31" s="17">
        <f>IF($AT$29=$AU$29,0,1)</f>
        <v>1</v>
      </c>
      <c r="AQ31" s="18">
        <v>24</v>
      </c>
      <c r="AR31" s="19" t="s">
        <v>713</v>
      </c>
      <c r="AS31" s="18">
        <v>15</v>
      </c>
      <c r="AT31" s="17">
        <f>COUNTBLANK($K$31:$K$31)</f>
        <v>0</v>
      </c>
      <c r="AU31" s="17">
        <f>COUNTBLANK($L$31:$L$31)</f>
        <v>1</v>
      </c>
      <c r="BB31" s="303" t="s">
        <v>1059</v>
      </c>
      <c r="BC31" s="303" t="s">
        <v>1060</v>
      </c>
      <c r="BD31" s="303" t="s">
        <v>1061</v>
      </c>
      <c r="BE31" s="303" t="s">
        <v>1066</v>
      </c>
      <c r="BF31" s="304"/>
      <c r="BI31" s="314" t="s">
        <v>1288</v>
      </c>
      <c r="BJ31" s="314" t="s">
        <v>1307</v>
      </c>
      <c r="BK31" s="314" t="s">
        <v>1314</v>
      </c>
      <c r="BL31" s="314" t="s">
        <v>1324</v>
      </c>
      <c r="BM31" s="314" t="s">
        <v>1353</v>
      </c>
    </row>
    <row r="32" spans="1:65" ht="18" customHeight="1">
      <c r="A32" s="148"/>
      <c r="B32" s="954"/>
      <c r="C32" s="955"/>
      <c r="D32" s="956"/>
      <c r="E32" s="140"/>
      <c r="F32" s="140"/>
      <c r="G32" s="140"/>
      <c r="H32" s="140"/>
      <c r="I32" s="141"/>
      <c r="J32" s="85"/>
      <c r="K32" t="str">
        <f t="shared" si="1"/>
        <v>BLANK</v>
      </c>
      <c r="L32"/>
      <c r="M32"/>
      <c r="N32"/>
      <c r="O32"/>
      <c r="P32"/>
      <c r="Q32"/>
      <c r="R32"/>
      <c r="S32"/>
      <c r="T32"/>
      <c r="W32" s="17" t="s">
        <v>700</v>
      </c>
      <c r="Z32" s="17">
        <f>IF($AA$32=$AB$32,0,1)</f>
        <v>0</v>
      </c>
      <c r="AA32" s="17">
        <f>COUNTBLANK($A$32:$A$32)</f>
        <v>1</v>
      </c>
      <c r="AB32" s="17">
        <f>COUNTBLANK($B$32:$B$32)</f>
        <v>1</v>
      </c>
      <c r="AC32" s="17">
        <f>IF($E$32="x",2,0)</f>
        <v>0</v>
      </c>
      <c r="AD32" s="17">
        <f>IF($F$32="x",4,0)</f>
        <v>0</v>
      </c>
      <c r="AE32" s="17">
        <f>IF($G$32="x",6,0)</f>
        <v>0</v>
      </c>
      <c r="AF32" s="17">
        <f>IF($H$32="x",8,0)</f>
        <v>0</v>
      </c>
      <c r="AG32" s="17">
        <f>IF($I$32="x",10,0)</f>
        <v>0</v>
      </c>
      <c r="AH32" s="17">
        <f>SUM($AC$32:$AG$32)</f>
        <v>0</v>
      </c>
      <c r="AI32" s="17">
        <f>IF($E$32="x",2,IF($F$32="x",4,IF($G$32="x",6,IF($H$32="x",8,IF($I$32="x",10,0)))))</f>
        <v>0</v>
      </c>
      <c r="AJ32" s="17">
        <f>IF($AH$32=$AI$32,+$AI$32,+$AJ$23)</f>
        <v>0</v>
      </c>
      <c r="AP32" s="17">
        <f>SUM($AP$26:$AP$31)</f>
        <v>4</v>
      </c>
      <c r="AQ32" s="18">
        <v>25</v>
      </c>
      <c r="BB32" s="303" t="s">
        <v>1063</v>
      </c>
      <c r="BC32" s="303" t="s">
        <v>1214</v>
      </c>
      <c r="BD32" s="742" t="s">
        <v>1456</v>
      </c>
      <c r="BE32" s="303" t="s">
        <v>1070</v>
      </c>
      <c r="BF32" s="304"/>
      <c r="BI32" s="314" t="s">
        <v>1289</v>
      </c>
      <c r="BJ32" s="314" t="s">
        <v>1375</v>
      </c>
      <c r="BK32" s="314" t="s">
        <v>1316</v>
      </c>
      <c r="BL32" s="314" t="s">
        <v>1325</v>
      </c>
      <c r="BM32" s="314" t="s">
        <v>1354</v>
      </c>
    </row>
    <row r="33" spans="1:65" ht="18" customHeight="1">
      <c r="A33" s="148"/>
      <c r="B33" s="954"/>
      <c r="C33" s="955"/>
      <c r="D33" s="956"/>
      <c r="E33" s="140"/>
      <c r="F33" s="140"/>
      <c r="G33" s="140"/>
      <c r="H33" s="140"/>
      <c r="I33" s="141"/>
      <c r="J33" s="85"/>
      <c r="K33" t="str">
        <f t="shared" si="1"/>
        <v>BLANK</v>
      </c>
      <c r="L33"/>
      <c r="M33"/>
      <c r="N33"/>
      <c r="O33"/>
      <c r="P33"/>
      <c r="Q33"/>
      <c r="R33"/>
      <c r="S33"/>
      <c r="T33"/>
      <c r="W33" s="17" t="s">
        <v>589</v>
      </c>
      <c r="Z33" s="17">
        <f>IF($AA$33=$AB$33,0,1)</f>
        <v>0</v>
      </c>
      <c r="AA33" s="17">
        <f>COUNTBLANK($A$33:$A$33)</f>
        <v>1</v>
      </c>
      <c r="AB33" s="17">
        <f>COUNTBLANK($B$33:$B$33)</f>
        <v>1</v>
      </c>
      <c r="AC33" s="17">
        <f>IF($E$33="x",2,0)</f>
        <v>0</v>
      </c>
      <c r="AD33" s="17">
        <f>IF($F$33="x",4,0)</f>
        <v>0</v>
      </c>
      <c r="AE33" s="17">
        <f>IF($G$33="x",6,0)</f>
        <v>0</v>
      </c>
      <c r="AF33" s="17">
        <f>IF($H$33="x",8,0)</f>
        <v>0</v>
      </c>
      <c r="AG33" s="17">
        <f>IF($I$33="x",10,0)</f>
        <v>0</v>
      </c>
      <c r="AH33" s="17">
        <f>SUM($AC$33:$AG$33)</f>
        <v>0</v>
      </c>
      <c r="AI33" s="17">
        <f>IF($E$33="x",2,IF($F$33="x",4,IF($G$33="x",6,IF($H$33="x",8,IF($I$33="x",10,0)))))</f>
        <v>0</v>
      </c>
      <c r="AJ33" s="17">
        <f>IF($AH$33=$AI$33,+$AI$33,+$AJ$23)</f>
        <v>0</v>
      </c>
      <c r="BB33" s="303" t="s">
        <v>1067</v>
      </c>
      <c r="BC33" s="303" t="s">
        <v>1064</v>
      </c>
      <c r="BD33" s="303" t="s">
        <v>1094</v>
      </c>
      <c r="BE33" s="303" t="s">
        <v>1105</v>
      </c>
      <c r="BF33" s="304"/>
      <c r="BI33" s="314" t="s">
        <v>1290</v>
      </c>
      <c r="BJ33" s="298"/>
      <c r="BK33" s="314" t="s">
        <v>1315</v>
      </c>
      <c r="BL33" s="314" t="s">
        <v>1326</v>
      </c>
      <c r="BM33" s="314" t="s">
        <v>1355</v>
      </c>
    </row>
    <row r="34" spans="1:65" ht="18" customHeight="1">
      <c r="A34" s="148"/>
      <c r="B34" s="954"/>
      <c r="C34" s="955"/>
      <c r="D34" s="956"/>
      <c r="E34" s="140"/>
      <c r="F34" s="140"/>
      <c r="G34" s="140"/>
      <c r="H34" s="140"/>
      <c r="I34" s="141"/>
      <c r="J34" s="82"/>
      <c r="K34" t="str">
        <f t="shared" si="1"/>
        <v>BLANK</v>
      </c>
      <c r="L34"/>
      <c r="M34"/>
      <c r="N34"/>
      <c r="O34"/>
      <c r="P34"/>
      <c r="Q34">
        <f>'FFA Leadership 2'!$P$17</f>
        <v>0</v>
      </c>
      <c r="R34"/>
      <c r="S34"/>
      <c r="T34"/>
      <c r="W34" s="17" t="s">
        <v>715</v>
      </c>
      <c r="Z34" s="17">
        <f>IF($AA$34=$AB$34,0,1)</f>
        <v>0</v>
      </c>
      <c r="AA34" s="17">
        <f>COUNTBLANK($A$34:$A$34)</f>
        <v>1</v>
      </c>
      <c r="AB34" s="17">
        <f>COUNTBLANK($B$34:$B$34)</f>
        <v>1</v>
      </c>
      <c r="AC34" s="17">
        <f>IF($E$34="x",2,0)</f>
        <v>0</v>
      </c>
      <c r="AD34" s="17">
        <f>IF($F$34="x",4,0)</f>
        <v>0</v>
      </c>
      <c r="AE34" s="17">
        <f>IF($G$34="x",6,0)</f>
        <v>0</v>
      </c>
      <c r="AF34" s="17">
        <f>IF($H$34="x",8,0)</f>
        <v>0</v>
      </c>
      <c r="AG34" s="17">
        <f>IF($I$34="x",10,0)</f>
        <v>0</v>
      </c>
      <c r="AH34" s="17">
        <f>SUM($AC$34:$AG$34)</f>
        <v>0</v>
      </c>
      <c r="AI34" s="17">
        <f>IF($E$34="x",2,IF($F$34="x",4,IF($G$34="x",6,IF($H$34="x",8,IF($I$34="x",10,0)))))</f>
        <v>0</v>
      </c>
      <c r="AJ34" s="17">
        <f>IF($AH$34=$AI$34,+$AI$34,+$AJ$23)</f>
        <v>0</v>
      </c>
      <c r="BB34" s="303" t="s">
        <v>1212</v>
      </c>
      <c r="BC34" s="303" t="s">
        <v>1478</v>
      </c>
      <c r="BD34" s="303" t="s">
        <v>1065</v>
      </c>
      <c r="BE34" s="303" t="s">
        <v>1076</v>
      </c>
      <c r="BF34" s="304"/>
      <c r="BI34" s="314" t="s">
        <v>1291</v>
      </c>
      <c r="BJ34" s="298"/>
      <c r="BK34" s="314" t="s">
        <v>1480</v>
      </c>
      <c r="BL34" s="314" t="s">
        <v>1376</v>
      </c>
      <c r="BM34" s="314" t="s">
        <v>1356</v>
      </c>
    </row>
    <row r="35" spans="1:65" ht="24">
      <c r="A35" s="148"/>
      <c r="B35" s="954"/>
      <c r="C35" s="955"/>
      <c r="D35" s="956"/>
      <c r="E35" s="140"/>
      <c r="F35" s="140"/>
      <c r="G35" s="140"/>
      <c r="H35" s="140"/>
      <c r="I35" s="141"/>
      <c r="J35" s="82"/>
      <c r="K35" t="str">
        <f t="shared" si="1"/>
        <v>BLANK</v>
      </c>
      <c r="L35"/>
      <c r="M35"/>
      <c r="N35"/>
      <c r="O35"/>
      <c r="P35"/>
      <c r="Q35"/>
      <c r="R35"/>
      <c r="S35"/>
      <c r="T35"/>
      <c r="W35" s="17" t="str">
        <f>IF($Y$41=0,$W$33,$W$34)</f>
        <v>DATE OR ACTIVITY MISSING - TABLE F</v>
      </c>
      <c r="Z35" s="17">
        <f>IF($AA$35=$AB$35,0,1)</f>
        <v>0</v>
      </c>
      <c r="AA35" s="17">
        <f>COUNTBLANK($A$35:$A$35)</f>
        <v>1</v>
      </c>
      <c r="AB35" s="17">
        <f>COUNTBLANK($B$35:$B$35)</f>
        <v>1</v>
      </c>
      <c r="AC35" s="17">
        <f>IF($E$35="x",2,0)</f>
        <v>0</v>
      </c>
      <c r="AD35" s="17">
        <f>IF($F$35="x",4,0)</f>
        <v>0</v>
      </c>
      <c r="AE35" s="17">
        <f>IF($G$35="x",6,0)</f>
        <v>0</v>
      </c>
      <c r="AF35" s="17">
        <f>IF($H$35="x",8,0)</f>
        <v>0</v>
      </c>
      <c r="AG35" s="17">
        <f>IF($I$35="x",10,0)</f>
        <v>0</v>
      </c>
      <c r="AH35" s="17">
        <f>SUM($AC$35:$AG$35)</f>
        <v>0</v>
      </c>
      <c r="AI35" s="17">
        <f>IF($E$35="x",2,IF($F$35="x",4,IF($G$35="x",6,IF($H$35="x",8,IF($I$35="x",10,0)))))</f>
        <v>0</v>
      </c>
      <c r="AJ35" s="17">
        <f>IF($AH$35=$AI$35,+$AI$35,+$AJ$23)</f>
        <v>0</v>
      </c>
      <c r="BB35" s="303" t="s">
        <v>1071</v>
      </c>
      <c r="BC35" s="303" t="s">
        <v>1068</v>
      </c>
      <c r="BD35" s="303" t="s">
        <v>1069</v>
      </c>
      <c r="BE35" s="303" t="s">
        <v>1079</v>
      </c>
      <c r="BF35" s="304"/>
      <c r="BI35" s="314" t="s">
        <v>1292</v>
      </c>
      <c r="BJ35" s="298"/>
      <c r="BK35" s="792" t="s">
        <v>1491</v>
      </c>
      <c r="BL35" s="314" t="s">
        <v>1327</v>
      </c>
      <c r="BM35" s="314" t="s">
        <v>1446</v>
      </c>
    </row>
    <row r="36" spans="1:65" ht="18" customHeight="1">
      <c r="A36" s="148"/>
      <c r="B36" s="954"/>
      <c r="C36" s="955"/>
      <c r="D36" s="956"/>
      <c r="E36" s="140"/>
      <c r="F36" s="140"/>
      <c r="G36" s="140"/>
      <c r="H36" s="140"/>
      <c r="I36" s="141"/>
      <c r="J36" s="82"/>
      <c r="K36" t="str">
        <f t="shared" si="1"/>
        <v>BLANK</v>
      </c>
      <c r="L36"/>
      <c r="M36"/>
      <c r="N36"/>
      <c r="O36"/>
      <c r="P36"/>
      <c r="Q36"/>
      <c r="R36"/>
      <c r="S36"/>
      <c r="T36"/>
      <c r="W36" s="17">
        <f>COUNTBLANK($K$36:$K$36)</f>
        <v>0</v>
      </c>
      <c r="X36" s="17">
        <f>COUNTBLANK($L$36:$L$36)</f>
        <v>1</v>
      </c>
      <c r="Y36" s="17">
        <f>IF($W$36=$X$36,0,1)</f>
        <v>1</v>
      </c>
      <c r="Z36" s="17">
        <f>IF($AA$36=$AB$36,0,1)</f>
        <v>0</v>
      </c>
      <c r="AA36" s="17">
        <f>COUNTBLANK($A$36:$A$36)</f>
        <v>1</v>
      </c>
      <c r="AB36" s="17">
        <f>COUNTBLANK($B$36:$B$36)</f>
        <v>1</v>
      </c>
      <c r="AC36" s="17">
        <f>IF($E$36="x",2,0)</f>
        <v>0</v>
      </c>
      <c r="AD36" s="17">
        <f>IF($F$36="x",4,0)</f>
        <v>0</v>
      </c>
      <c r="AE36" s="17">
        <f>IF($G$36="x",6,0)</f>
        <v>0</v>
      </c>
      <c r="AF36" s="17">
        <f>IF($H$36="x",8,0)</f>
        <v>0</v>
      </c>
      <c r="AG36" s="17">
        <f>IF($I$36="x",10,0)</f>
        <v>0</v>
      </c>
      <c r="AH36" s="17">
        <f>SUM($AC$36:$AG$36)</f>
        <v>0</v>
      </c>
      <c r="AI36" s="17">
        <f>IF($E$36="x",2,IF($F$36="x",4,IF($G$36="x",6,IF($H$36="x",8,IF($I$36="x",10,0)))))</f>
        <v>0</v>
      </c>
      <c r="AJ36" s="17">
        <f>IF($AH$36=$AI$36,+$AI$36,+$AJ$23)</f>
        <v>0</v>
      </c>
      <c r="BB36" s="303" t="s">
        <v>1073</v>
      </c>
      <c r="BC36" s="303" t="s">
        <v>1074</v>
      </c>
      <c r="BD36" s="303" t="s">
        <v>1175</v>
      </c>
      <c r="BE36" s="303" t="s">
        <v>1082</v>
      </c>
      <c r="BF36" s="304"/>
      <c r="BI36" s="314" t="s">
        <v>1293</v>
      </c>
      <c r="BJ36" s="298"/>
      <c r="BK36" s="298"/>
      <c r="BL36" s="314" t="s">
        <v>1328</v>
      </c>
      <c r="BM36" s="314" t="s">
        <v>1447</v>
      </c>
    </row>
    <row r="37" spans="1:65" ht="18" customHeight="1">
      <c r="A37" s="148"/>
      <c r="B37" s="954"/>
      <c r="C37" s="955"/>
      <c r="D37" s="956"/>
      <c r="E37" s="140"/>
      <c r="F37" s="140"/>
      <c r="G37" s="140"/>
      <c r="H37" s="140"/>
      <c r="I37" s="141"/>
      <c r="J37" s="82"/>
      <c r="K37" t="str">
        <f t="shared" si="1"/>
        <v>BLANK</v>
      </c>
      <c r="L37"/>
      <c r="M37"/>
      <c r="N37"/>
      <c r="O37"/>
      <c r="P37"/>
      <c r="Q37"/>
      <c r="R37"/>
      <c r="S37"/>
      <c r="T37"/>
      <c r="W37" s="17">
        <f>COUNTBLANK($K$37:$K$37)</f>
        <v>0</v>
      </c>
      <c r="X37" s="17">
        <f>COUNTBLANK($L$37:$L$37)</f>
        <v>1</v>
      </c>
      <c r="Y37" s="17">
        <f>IF($W$37=$X$37,0,1)</f>
        <v>1</v>
      </c>
      <c r="Z37" s="17">
        <f>IF($AA$37=$AB$37,0,1)</f>
        <v>0</v>
      </c>
      <c r="AA37" s="17">
        <f>COUNTBLANK($A$37:$A$37)</f>
        <v>1</v>
      </c>
      <c r="AB37" s="17">
        <f>COUNTBLANK($B$37:$B$37)</f>
        <v>1</v>
      </c>
      <c r="AC37" s="17">
        <f>IF($E$37="x",2,0)</f>
        <v>0</v>
      </c>
      <c r="AD37" s="17">
        <f>IF($F$37="x",4,0)</f>
        <v>0</v>
      </c>
      <c r="AE37" s="17">
        <f>IF($G$37="x",6,0)</f>
        <v>0</v>
      </c>
      <c r="AF37" s="17">
        <f>IF($H$37="x",8,0)</f>
        <v>0</v>
      </c>
      <c r="AG37" s="17">
        <f>IF($I$37="x",10,0)</f>
        <v>0</v>
      </c>
      <c r="AH37" s="17">
        <f>SUM($AC$37:$AG$37)</f>
        <v>0</v>
      </c>
      <c r="AI37" s="17">
        <f>IF($E$37="x",2,IF($F$37="x",4,IF($G$37="x",6,IF($H$37="x",8,IF($I$37="x",10,0)))))</f>
        <v>0</v>
      </c>
      <c r="AJ37" s="17">
        <f>IF($AH$37=$AI$37,+$AI$37,+$AJ$23)</f>
        <v>0</v>
      </c>
      <c r="BB37" s="303" t="s">
        <v>1077</v>
      </c>
      <c r="BC37" s="303" t="s">
        <v>1466</v>
      </c>
      <c r="BD37" s="303" t="s">
        <v>1075</v>
      </c>
      <c r="BE37" s="303" t="s">
        <v>1085</v>
      </c>
      <c r="BF37" s="304"/>
      <c r="BI37" s="314" t="s">
        <v>1294</v>
      </c>
      <c r="BJ37" s="298"/>
      <c r="BK37" s="298"/>
      <c r="BL37" s="314" t="s">
        <v>1329</v>
      </c>
      <c r="BM37" s="314" t="s">
        <v>1358</v>
      </c>
    </row>
    <row r="38" spans="1:65" ht="18" customHeight="1">
      <c r="A38" s="148"/>
      <c r="B38" s="954"/>
      <c r="C38" s="955"/>
      <c r="D38" s="956"/>
      <c r="E38" s="140"/>
      <c r="F38" s="140"/>
      <c r="G38" s="140"/>
      <c r="H38" s="140"/>
      <c r="I38" s="141"/>
      <c r="J38" s="82"/>
      <c r="K38" t="str">
        <f t="shared" si="1"/>
        <v>BLANK</v>
      </c>
      <c r="L38"/>
      <c r="M38"/>
      <c r="N38"/>
      <c r="O38"/>
      <c r="P38"/>
      <c r="Q38"/>
      <c r="R38"/>
      <c r="S38"/>
      <c r="T38"/>
      <c r="W38" s="17">
        <f>COUNTBLANK($K$38:$K$38)</f>
        <v>0</v>
      </c>
      <c r="X38" s="17">
        <f>COUNTBLANK($L$38:$L$38)</f>
        <v>1</v>
      </c>
      <c r="Y38" s="17">
        <f>IF($W$38=$X$38,0,1)</f>
        <v>1</v>
      </c>
      <c r="Z38" s="17">
        <f>IF($AA$38=$AB$38,0,1)</f>
        <v>0</v>
      </c>
      <c r="AA38" s="17">
        <f>COUNTBLANK($A$38:$A$38)</f>
        <v>1</v>
      </c>
      <c r="AB38" s="17">
        <f>COUNTBLANK($B$38:$B$38)</f>
        <v>1</v>
      </c>
      <c r="AC38" s="17">
        <f>IF($E$38="x",2,0)</f>
        <v>0</v>
      </c>
      <c r="AD38" s="17">
        <f>IF($F$38="x",4,0)</f>
        <v>0</v>
      </c>
      <c r="AE38" s="17">
        <f>IF($G$38="x",6,0)</f>
        <v>0</v>
      </c>
      <c r="AF38" s="17">
        <f>IF($H$38="x",8,0)</f>
        <v>0</v>
      </c>
      <c r="AG38" s="17">
        <f>IF($I$38="x",10,0)</f>
        <v>0</v>
      </c>
      <c r="AH38" s="17">
        <f>SUM($AC$38:$AG$38)</f>
        <v>0</v>
      </c>
      <c r="AI38" s="17">
        <f>IF($E$38="x",2,IF($F$38="x",4,IF($G$38="x",6,IF($H$38="x",8,IF($I$38="x",10,0)))))</f>
        <v>0</v>
      </c>
      <c r="AJ38" s="17">
        <f>IF(AH38=AI38,+AI38,+$AJ$23)</f>
        <v>0</v>
      </c>
      <c r="BB38" s="303" t="s">
        <v>1213</v>
      </c>
      <c r="BC38" s="303" t="s">
        <v>1174</v>
      </c>
      <c r="BD38" s="303" t="s">
        <v>1078</v>
      </c>
      <c r="BE38" s="303" t="s">
        <v>1088</v>
      </c>
      <c r="BF38" s="304"/>
      <c r="BI38" s="314" t="s">
        <v>1295</v>
      </c>
      <c r="BJ38" s="298"/>
      <c r="BK38" s="298"/>
      <c r="BL38" s="314" t="s">
        <v>1330</v>
      </c>
      <c r="BM38" s="314" t="s">
        <v>1357</v>
      </c>
    </row>
    <row r="39" spans="1:65" ht="18" customHeight="1">
      <c r="A39" s="148"/>
      <c r="B39" s="954"/>
      <c r="C39" s="955"/>
      <c r="D39" s="956"/>
      <c r="E39" s="140"/>
      <c r="F39" s="140"/>
      <c r="G39" s="140"/>
      <c r="H39" s="140"/>
      <c r="I39" s="141"/>
      <c r="J39" s="82"/>
      <c r="K39" t="str">
        <f t="shared" si="1"/>
        <v>BLANK</v>
      </c>
      <c r="L39"/>
      <c r="M39"/>
      <c r="N39"/>
      <c r="O39"/>
      <c r="P39"/>
      <c r="Q39"/>
      <c r="R39"/>
      <c r="S39"/>
      <c r="T39"/>
      <c r="W39" s="17">
        <f>COUNTBLANK($K$39:$K$39)</f>
        <v>0</v>
      </c>
      <c r="X39" s="17">
        <f>COUNTBLANK($L$39:$L$39)</f>
        <v>1</v>
      </c>
      <c r="Y39" s="17">
        <f>IF($W$39=$X$39,0,1)</f>
        <v>1</v>
      </c>
      <c r="Z39" s="17">
        <f>IF($AA$39=$AB$39,0,1)</f>
        <v>0</v>
      </c>
      <c r="AA39" s="17">
        <f>COUNTBLANK($A$39:$A$39)</f>
        <v>1</v>
      </c>
      <c r="AB39" s="17">
        <f>COUNTBLANK($B$39:$B$39)</f>
        <v>1</v>
      </c>
      <c r="AC39" s="17">
        <f>IF($E$39="x",2,0)</f>
        <v>0</v>
      </c>
      <c r="AD39" s="17">
        <f>IF($F$39="x",4,0)</f>
        <v>0</v>
      </c>
      <c r="AE39" s="17">
        <f>IF($G$39="x",6,0)</f>
        <v>0</v>
      </c>
      <c r="AF39" s="17">
        <f>IF($H$39="x",8,0)</f>
        <v>0</v>
      </c>
      <c r="AG39" s="17">
        <f>IF($I$39="x",10,0)</f>
        <v>0</v>
      </c>
      <c r="AH39" s="17">
        <f>SUM($AC$39:$AG$39)</f>
        <v>0</v>
      </c>
      <c r="AI39" s="17">
        <f>IF($E$39="x",2,IF($F$39="x",4,IF($G$39="x",6,IF($H$39="x",8,IF($I$39="x",10,0)))))</f>
        <v>0</v>
      </c>
      <c r="AJ39" s="17">
        <f>IF($AH$39=$AI$39,+$AI$39,+$AJ$23)</f>
        <v>0</v>
      </c>
      <c r="BB39" s="303" t="s">
        <v>1080</v>
      </c>
      <c r="BC39" s="303" t="s">
        <v>1215</v>
      </c>
      <c r="BD39" s="303" t="s">
        <v>1081</v>
      </c>
      <c r="BE39" s="303" t="s">
        <v>1090</v>
      </c>
      <c r="BF39" s="304"/>
      <c r="BI39" s="314" t="s">
        <v>1296</v>
      </c>
      <c r="BJ39" s="298"/>
      <c r="BK39" s="298"/>
      <c r="BL39" s="314" t="s">
        <v>1331</v>
      </c>
      <c r="BM39" s="314" t="s">
        <v>1463</v>
      </c>
    </row>
    <row r="40" spans="1:65" ht="18" customHeight="1">
      <c r="A40" s="148"/>
      <c r="B40" s="954"/>
      <c r="C40" s="955"/>
      <c r="D40" s="956"/>
      <c r="E40" s="140"/>
      <c r="F40" s="140"/>
      <c r="G40" s="140"/>
      <c r="H40" s="140"/>
      <c r="I40" s="141"/>
      <c r="J40" s="82"/>
      <c r="K40" t="str">
        <f t="shared" si="1"/>
        <v>BLANK</v>
      </c>
      <c r="L40"/>
      <c r="M40"/>
      <c r="N40"/>
      <c r="O40"/>
      <c r="P40"/>
      <c r="Q40"/>
      <c r="R40"/>
      <c r="S40"/>
      <c r="T40"/>
      <c r="W40" s="17">
        <f>COUNTBLANK($K$40:$K$40)</f>
        <v>0</v>
      </c>
      <c r="X40" s="17">
        <f>COUNTBLANK($L$40:$L$40)</f>
        <v>1</v>
      </c>
      <c r="Y40" s="17">
        <f>IF($W$40=$X$40,0,1)</f>
        <v>1</v>
      </c>
      <c r="Z40" s="17">
        <f>IF($AA$40=$AB$40,0,1)</f>
        <v>0</v>
      </c>
      <c r="AA40" s="17">
        <f>COUNTBLANK($A$40:$A$40)</f>
        <v>1</v>
      </c>
      <c r="AB40" s="17">
        <f>COUNTBLANK($B$40:$B$40)</f>
        <v>1</v>
      </c>
      <c r="AC40" s="17">
        <f>IF($E$40="x",2,0)</f>
        <v>0</v>
      </c>
      <c r="AD40" s="17">
        <f>IF($F$40="x",4,0)</f>
        <v>0</v>
      </c>
      <c r="AE40" s="17">
        <f>IF($G$40="x",6,0)</f>
        <v>0</v>
      </c>
      <c r="AF40" s="17">
        <f>IF($H$40="x",8,0)</f>
        <v>0</v>
      </c>
      <c r="AG40" s="17">
        <f>IF($I$40="x",10,0)</f>
        <v>0</v>
      </c>
      <c r="AH40" s="17">
        <f>SUM($AC$40:$AG$40)</f>
        <v>0</v>
      </c>
      <c r="AI40" s="17">
        <f>IF($E$40="x",2,IF($F$40="x",4,IF($G$40="x",6,IF($H$40="x",8,IF($I$40="x",10,0)))))</f>
        <v>0</v>
      </c>
      <c r="AJ40" s="17">
        <f>IF($AH$40=$AI$40,+$AI$40,+$AJ$23)</f>
        <v>0</v>
      </c>
      <c r="BB40" s="314" t="s">
        <v>1083</v>
      </c>
      <c r="BC40" s="303" t="s">
        <v>1232</v>
      </c>
      <c r="BD40" s="303" t="s">
        <v>1084</v>
      </c>
      <c r="BE40" s="303" t="s">
        <v>1178</v>
      </c>
      <c r="BF40" s="304"/>
      <c r="BI40" s="314" t="s">
        <v>1297</v>
      </c>
      <c r="BJ40" s="298"/>
      <c r="BK40" s="298"/>
      <c r="BL40" s="314" t="s">
        <v>1332</v>
      </c>
      <c r="BM40" s="314" t="s">
        <v>1473</v>
      </c>
    </row>
    <row r="41" spans="1:65" ht="16.5" customHeight="1">
      <c r="A41" s="152" t="str">
        <f>Cover!$B$56</f>
        <v>MO FFA 2022-2025 Application-October 2022</v>
      </c>
      <c r="B41" s="136"/>
      <c r="C41" s="690" t="s">
        <v>1366</v>
      </c>
      <c r="D41" s="136"/>
      <c r="E41" s="958"/>
      <c r="F41" s="958"/>
      <c r="G41" s="82"/>
      <c r="H41" s="950">
        <f>Cover!$M$56</f>
        <v>0</v>
      </c>
      <c r="I41" s="950"/>
      <c r="J41" s="95"/>
      <c r="K41" s="106"/>
      <c r="L41" s="107"/>
      <c r="M41" s="107"/>
      <c r="N41" s="108"/>
      <c r="O41" s="107"/>
      <c r="P41" s="106"/>
      <c r="Q41" s="106"/>
      <c r="R41" s="109"/>
      <c r="S41" s="25"/>
      <c r="Y41" s="17">
        <f>SUM($Y$36:$Y$40)</f>
        <v>5</v>
      </c>
      <c r="Z41" s="17">
        <f>SUM($Z$24:$Z$40)</f>
        <v>0</v>
      </c>
      <c r="AB41" s="17">
        <f>SUM($AC$41:$AG$41)</f>
        <v>0</v>
      </c>
      <c r="AC41" s="17">
        <f>SUM($AC$24:$AC$40)</f>
        <v>0</v>
      </c>
      <c r="AD41" s="17">
        <f>SUM($AD$24:$AD$40)</f>
        <v>0</v>
      </c>
      <c r="AE41" s="17">
        <f>SUM($AE$24:AE40)</f>
        <v>0</v>
      </c>
      <c r="AF41" s="17">
        <f>SUM($AF$24:$AF$40)</f>
        <v>0</v>
      </c>
      <c r="AG41" s="17">
        <f>SUM($AG$24:$AG$40)</f>
        <v>0</v>
      </c>
      <c r="AH41" s="17">
        <f>SUM($AH$24:$AH$40)</f>
        <v>0</v>
      </c>
      <c r="AI41" s="17">
        <f>SUM($AI$24:$AI$40)</f>
        <v>0</v>
      </c>
      <c r="AJ41" s="17">
        <f>SUM($AJ$24:$AJ$40)</f>
        <v>0</v>
      </c>
      <c r="BB41" s="303" t="s">
        <v>1458</v>
      </c>
      <c r="BC41" s="303" t="s">
        <v>1086</v>
      </c>
      <c r="BD41" s="303" t="s">
        <v>1087</v>
      </c>
      <c r="BE41" s="303" t="s">
        <v>1095</v>
      </c>
      <c r="BF41" s="304"/>
      <c r="BI41" s="314" t="s">
        <v>1298</v>
      </c>
      <c r="BJ41" s="298"/>
      <c r="BK41" s="298"/>
      <c r="BL41" s="314" t="s">
        <v>1333</v>
      </c>
      <c r="BM41" s="314" t="s">
        <v>1464</v>
      </c>
    </row>
    <row r="42" spans="1:65" ht="15" customHeight="1">
      <c r="A42" s="19"/>
      <c r="B42" s="643">
        <f ca="1">NOW()</f>
        <v>45188.54951967593</v>
      </c>
      <c r="C42" s="19"/>
      <c r="D42" s="19"/>
      <c r="E42" s="19"/>
      <c r="F42" s="19"/>
      <c r="G42" s="19"/>
      <c r="H42" s="19"/>
      <c r="I42" s="19"/>
      <c r="J42" s="19"/>
      <c r="K42" s="124"/>
      <c r="L42" s="82"/>
      <c r="M42" s="82"/>
      <c r="N42" s="89"/>
      <c r="O42" s="82"/>
      <c r="P42" s="110"/>
      <c r="Q42" s="110"/>
      <c r="R42" s="110"/>
      <c r="S42" s="110"/>
      <c r="T42" s="110"/>
      <c r="W42" s="17">
        <f>20-((COUNTBLANK($L$36:$L$40)*4))</f>
        <v>0</v>
      </c>
      <c r="BB42" s="303" t="s">
        <v>1477</v>
      </c>
      <c r="BC42" s="314" t="s">
        <v>1467</v>
      </c>
      <c r="BD42" s="303" t="s">
        <v>1089</v>
      </c>
      <c r="BE42" s="303" t="s">
        <v>1097</v>
      </c>
      <c r="BF42" s="308"/>
      <c r="BI42" s="314" t="s">
        <v>1299</v>
      </c>
      <c r="BJ42" s="298"/>
      <c r="BK42" s="298"/>
      <c r="BL42" s="314" t="s">
        <v>1334</v>
      </c>
      <c r="BM42" s="314" t="s">
        <v>1465</v>
      </c>
    </row>
    <row r="43" spans="1:65" ht="15" customHeight="1">
      <c r="A43" s="19"/>
      <c r="B43" s="19"/>
      <c r="C43" s="19"/>
      <c r="D43" s="19"/>
      <c r="E43" s="19"/>
      <c r="F43" s="19"/>
      <c r="G43" s="19"/>
      <c r="H43" s="19"/>
      <c r="I43" s="19"/>
      <c r="J43" s="19"/>
      <c r="K43" s="19"/>
      <c r="L43" s="19"/>
      <c r="M43" s="19"/>
      <c r="N43" s="111"/>
      <c r="O43" s="19"/>
      <c r="P43" s="19"/>
      <c r="Q43" s="19"/>
      <c r="R43" s="19"/>
      <c r="S43" s="19"/>
      <c r="T43" s="19"/>
      <c r="W43" s="17" t="str">
        <f>IF($W$34=$W$35,$W$32,$W$42)</f>
        <v>ERR</v>
      </c>
      <c r="X43" s="17" t="str">
        <f>IF($K$32=$W$34,"ERR",$W$43)</f>
        <v>ERR</v>
      </c>
      <c r="AB43" s="17">
        <f>IF($AB$41&lt;90,$AB$41,90)</f>
        <v>0</v>
      </c>
      <c r="AI43" s="17">
        <f>IF($AI$41=$AJ$41,$AJ$41,$AJ$23)</f>
        <v>0</v>
      </c>
      <c r="AJ43" s="17">
        <f>IF($A$20=$V$24,"ERR",$AI$43)</f>
        <v>0</v>
      </c>
      <c r="BB43" s="314" t="s">
        <v>1487</v>
      </c>
      <c r="BC43" s="331" t="s">
        <v>1476</v>
      </c>
      <c r="BD43" s="303" t="s">
        <v>1217</v>
      </c>
      <c r="BE43" s="303" t="s">
        <v>1099</v>
      </c>
      <c r="BF43" s="311"/>
      <c r="BI43" s="314" t="s">
        <v>1300</v>
      </c>
      <c r="BJ43" s="298"/>
      <c r="BK43" s="298"/>
      <c r="BL43" s="314" t="s">
        <v>1335</v>
      </c>
      <c r="BM43" s="298"/>
    </row>
    <row r="44" spans="1:65" ht="15" customHeight="1">
      <c r="A44" s="19"/>
      <c r="B44" s="19"/>
      <c r="C44" s="19"/>
      <c r="D44" s="19"/>
      <c r="E44" s="19"/>
      <c r="F44" s="19"/>
      <c r="G44" s="19"/>
      <c r="H44" s="19"/>
      <c r="I44" s="19"/>
      <c r="J44" s="19"/>
      <c r="K44" s="19"/>
      <c r="L44" s="19"/>
      <c r="M44" s="19"/>
      <c r="N44" s="111"/>
      <c r="O44" s="19"/>
      <c r="P44" s="19"/>
      <c r="Q44" s="19"/>
      <c r="R44" s="19"/>
      <c r="S44" s="19"/>
      <c r="T44" s="19"/>
      <c r="AI44" s="17">
        <f>IF($AI$43&lt;90,$AI$43,IF($AI$43="ERR",$AJ$23,90))</f>
        <v>0</v>
      </c>
      <c r="AJ44" s="17">
        <f>IF($A$20=$V$24,"ERR",$AI$44)</f>
        <v>0</v>
      </c>
      <c r="BB44" s="304"/>
      <c r="BC44" s="314" t="s">
        <v>1454</v>
      </c>
      <c r="BD44" s="303" t="s">
        <v>1238</v>
      </c>
      <c r="BE44" s="303" t="s">
        <v>1100</v>
      </c>
      <c r="BF44" s="313"/>
      <c r="BI44" s="314" t="s">
        <v>1302</v>
      </c>
      <c r="BJ44" s="298"/>
      <c r="BK44" s="298"/>
      <c r="BL44" s="314" t="s">
        <v>1336</v>
      </c>
      <c r="BM44" s="298"/>
    </row>
    <row r="45" spans="1:65" ht="15" customHeight="1">
      <c r="A45" s="19"/>
      <c r="B45" s="19"/>
      <c r="C45" s="19"/>
      <c r="D45" s="19"/>
      <c r="E45" s="19"/>
      <c r="F45" s="19"/>
      <c r="G45" s="19"/>
      <c r="H45" s="19"/>
      <c r="I45" s="19"/>
      <c r="J45" s="19"/>
      <c r="K45" s="19"/>
      <c r="L45" s="19"/>
      <c r="M45" s="19"/>
      <c r="N45" s="111"/>
      <c r="O45" s="19"/>
      <c r="P45" s="19"/>
      <c r="Q45" s="19"/>
      <c r="R45" s="19"/>
      <c r="S45" s="19"/>
      <c r="T45" s="19"/>
      <c r="BB45" s="304"/>
      <c r="BC45" s="303" t="s">
        <v>1106</v>
      </c>
      <c r="BD45" s="305" t="s">
        <v>1092</v>
      </c>
      <c r="BE45" s="303" t="s">
        <v>1101</v>
      </c>
      <c r="BF45" s="313"/>
      <c r="BI45" s="314" t="s">
        <v>1302</v>
      </c>
      <c r="BJ45" s="298"/>
      <c r="BK45" s="298"/>
      <c r="BL45" s="314" t="s">
        <v>1377</v>
      </c>
      <c r="BM45" s="298"/>
    </row>
    <row r="46" spans="1:65" ht="15" customHeight="1">
      <c r="A46" s="19"/>
      <c r="B46" s="19"/>
      <c r="C46" s="19"/>
      <c r="D46" s="19"/>
      <c r="E46" s="19"/>
      <c r="F46" s="19"/>
      <c r="G46" s="19"/>
      <c r="H46" s="19"/>
      <c r="I46" s="19"/>
      <c r="J46" s="19"/>
      <c r="K46" s="19"/>
      <c r="L46" s="19"/>
      <c r="M46" s="19"/>
      <c r="N46" s="111"/>
      <c r="O46" s="19"/>
      <c r="P46" s="19"/>
      <c r="Q46" s="19"/>
      <c r="R46" s="19"/>
      <c r="S46" s="19"/>
      <c r="T46" s="19"/>
      <c r="BB46" s="306"/>
      <c r="BC46" s="305" t="s">
        <v>1091</v>
      </c>
      <c r="BD46" s="314" t="s">
        <v>1490</v>
      </c>
      <c r="BE46" s="303" t="s">
        <v>1103</v>
      </c>
      <c r="BF46" s="313"/>
      <c r="BI46" s="298"/>
      <c r="BJ46" s="298"/>
      <c r="BK46" s="298"/>
      <c r="BL46" s="331" t="s">
        <v>1072</v>
      </c>
      <c r="BM46" s="298"/>
    </row>
    <row r="47" spans="1:65" ht="15" customHeight="1" hidden="1">
      <c r="A47" s="19"/>
      <c r="B47" s="19"/>
      <c r="C47" s="19"/>
      <c r="D47" s="19"/>
      <c r="E47" s="19"/>
      <c r="F47" s="19"/>
      <c r="G47" s="19"/>
      <c r="H47" s="19"/>
      <c r="I47" s="19"/>
      <c r="J47" s="19"/>
      <c r="K47" s="19"/>
      <c r="L47" s="19"/>
      <c r="M47" s="19"/>
      <c r="N47" s="111"/>
      <c r="O47" s="19"/>
      <c r="P47" s="19"/>
      <c r="Q47" s="19"/>
      <c r="R47" s="19"/>
      <c r="S47" s="19"/>
      <c r="T47" s="19"/>
      <c r="BB47" s="309"/>
      <c r="BC47" s="305" t="s">
        <v>1093</v>
      </c>
      <c r="BD47" s="313"/>
      <c r="BE47" s="303" t="s">
        <v>1219</v>
      </c>
      <c r="BF47" s="313"/>
      <c r="BI47" s="298"/>
      <c r="BJ47" s="298"/>
      <c r="BK47" s="298"/>
      <c r="BL47" s="314" t="s">
        <v>1449</v>
      </c>
      <c r="BM47" s="298"/>
    </row>
    <row r="48" spans="1:65" ht="15" customHeight="1" hidden="1">
      <c r="A48" s="19"/>
      <c r="B48" s="19"/>
      <c r="C48" s="19"/>
      <c r="D48" s="19"/>
      <c r="E48" s="19"/>
      <c r="F48" s="19"/>
      <c r="G48" s="19"/>
      <c r="H48" s="19"/>
      <c r="I48" s="19"/>
      <c r="J48" s="19"/>
      <c r="K48" s="19"/>
      <c r="L48" s="19"/>
      <c r="M48" s="19"/>
      <c r="N48" s="111"/>
      <c r="O48" s="19"/>
      <c r="P48" s="19"/>
      <c r="Q48" s="19"/>
      <c r="R48" s="19"/>
      <c r="S48" s="19"/>
      <c r="T48" s="19"/>
      <c r="BB48" s="312"/>
      <c r="BC48" s="305" t="s">
        <v>1216</v>
      </c>
      <c r="BD48" s="313"/>
      <c r="BE48" s="303" t="s">
        <v>1239</v>
      </c>
      <c r="BF48" s="313"/>
      <c r="BI48" s="298"/>
      <c r="BJ48" s="298"/>
      <c r="BK48" s="298"/>
      <c r="BL48" s="314" t="s">
        <v>1337</v>
      </c>
      <c r="BM48" s="298"/>
    </row>
    <row r="49" spans="1:65" ht="15" customHeight="1" hidden="1">
      <c r="A49" s="19"/>
      <c r="B49" s="19"/>
      <c r="C49" s="19"/>
      <c r="D49" s="19"/>
      <c r="E49" s="19"/>
      <c r="F49" s="19"/>
      <c r="G49" s="19"/>
      <c r="H49" s="19"/>
      <c r="I49" s="19"/>
      <c r="J49" s="19"/>
      <c r="K49" s="19"/>
      <c r="L49" s="19"/>
      <c r="M49" s="19"/>
      <c r="N49" s="111"/>
      <c r="O49" s="19"/>
      <c r="P49" s="19"/>
      <c r="Q49" s="19"/>
      <c r="R49" s="19"/>
      <c r="S49" s="19"/>
      <c r="T49" s="19"/>
      <c r="BB49" s="312"/>
      <c r="BC49" s="307" t="s">
        <v>1096</v>
      </c>
      <c r="BD49" s="313"/>
      <c r="BE49" s="313" t="s">
        <v>1104</v>
      </c>
      <c r="BI49" s="298"/>
      <c r="BJ49" s="298"/>
      <c r="BK49" s="298"/>
      <c r="BL49" s="314" t="s">
        <v>1338</v>
      </c>
      <c r="BM49" s="298"/>
    </row>
    <row r="50" spans="1:65" ht="15" customHeight="1" hidden="1">
      <c r="A50" s="19"/>
      <c r="B50" s="19"/>
      <c r="C50" s="19"/>
      <c r="D50" s="19"/>
      <c r="E50" s="19"/>
      <c r="F50" s="19"/>
      <c r="G50" s="19"/>
      <c r="H50" s="19"/>
      <c r="I50" s="19"/>
      <c r="J50" s="19"/>
      <c r="K50" s="19"/>
      <c r="L50" s="19"/>
      <c r="M50" s="19"/>
      <c r="N50" s="111"/>
      <c r="O50" s="19"/>
      <c r="P50" s="19"/>
      <c r="Q50" s="19"/>
      <c r="R50" s="19"/>
      <c r="S50" s="19"/>
      <c r="T50" s="19"/>
      <c r="BB50" s="312"/>
      <c r="BC50" s="310" t="s">
        <v>1098</v>
      </c>
      <c r="BD50" s="313"/>
      <c r="BE50" s="314" t="s">
        <v>1488</v>
      </c>
      <c r="BI50" s="298"/>
      <c r="BJ50" s="298"/>
      <c r="BK50" s="298"/>
      <c r="BL50" s="314" t="s">
        <v>1339</v>
      </c>
      <c r="BM50" s="298"/>
    </row>
    <row r="51" spans="1:65" ht="15" customHeight="1" hidden="1">
      <c r="A51" s="19"/>
      <c r="B51" s="19"/>
      <c r="C51" s="19"/>
      <c r="D51" s="19"/>
      <c r="E51" s="19"/>
      <c r="F51" s="19"/>
      <c r="G51" s="19"/>
      <c r="H51" s="19"/>
      <c r="I51" s="19"/>
      <c r="J51" s="19"/>
      <c r="K51" s="19"/>
      <c r="L51" s="19"/>
      <c r="M51" s="19"/>
      <c r="N51" s="111"/>
      <c r="O51" s="19"/>
      <c r="P51" s="19"/>
      <c r="Q51" s="19"/>
      <c r="R51" s="19"/>
      <c r="S51" s="19"/>
      <c r="T51" s="19"/>
      <c r="BB51" s="312"/>
      <c r="BC51" s="313" t="s">
        <v>1179</v>
      </c>
      <c r="BD51" s="313"/>
      <c r="BI51" s="298"/>
      <c r="BJ51" s="298"/>
      <c r="BK51" s="298"/>
      <c r="BL51" s="314" t="s">
        <v>1451</v>
      </c>
      <c r="BM51" s="298"/>
    </row>
    <row r="52" spans="1:65" ht="15" customHeight="1" hidden="1">
      <c r="A52" s="17">
        <f>COUNTBLANK(F24:F40)</f>
        <v>17</v>
      </c>
      <c r="B52" s="75" t="str">
        <f>IF(A52=17," ",IF(A52&lt;12,"A Maximum of 5 Area Activities Allowed"," "))</f>
        <v> </v>
      </c>
      <c r="C52" s="75"/>
      <c r="D52" s="75"/>
      <c r="J52" s="19"/>
      <c r="K52" s="19"/>
      <c r="L52" s="19"/>
      <c r="M52" s="19"/>
      <c r="N52" s="111"/>
      <c r="O52" s="19"/>
      <c r="P52" s="19"/>
      <c r="Q52" s="19">
        <v>1</v>
      </c>
      <c r="R52" s="19"/>
      <c r="S52" s="19"/>
      <c r="T52" s="19"/>
      <c r="BB52" s="312"/>
      <c r="BC52" s="313" t="s">
        <v>1102</v>
      </c>
      <c r="BI52" s="298"/>
      <c r="BJ52" s="298"/>
      <c r="BK52" s="298"/>
      <c r="BL52" s="314" t="s">
        <v>1340</v>
      </c>
      <c r="BM52" s="298"/>
    </row>
    <row r="53" spans="11:65" ht="15" customHeight="1" hidden="1">
      <c r="K53" s="19"/>
      <c r="L53" s="19"/>
      <c r="M53" s="19"/>
      <c r="N53" s="111"/>
      <c r="O53" s="19"/>
      <c r="P53" s="19"/>
      <c r="Q53" s="19"/>
      <c r="R53" s="19"/>
      <c r="S53" s="19"/>
      <c r="T53" s="19"/>
      <c r="BC53" s="303" t="s">
        <v>1166</v>
      </c>
      <c r="BI53" s="298"/>
      <c r="BJ53" s="298"/>
      <c r="BK53" s="298"/>
      <c r="BL53" s="314" t="s">
        <v>1341</v>
      </c>
      <c r="BM53" s="298"/>
    </row>
    <row r="54" spans="11:65" ht="15" customHeight="1" hidden="1">
      <c r="K54" s="19"/>
      <c r="L54" s="19"/>
      <c r="M54" s="19"/>
      <c r="N54" s="111"/>
      <c r="O54" s="19"/>
      <c r="P54" s="19"/>
      <c r="Q54" s="19"/>
      <c r="R54" s="19"/>
      <c r="S54" s="19"/>
      <c r="T54" s="19"/>
      <c r="BC54" s="303" t="s">
        <v>1180</v>
      </c>
      <c r="BI54" s="298"/>
      <c r="BJ54" s="298"/>
      <c r="BK54" s="298"/>
      <c r="BL54" s="314" t="s">
        <v>1342</v>
      </c>
      <c r="BM54" s="298"/>
    </row>
    <row r="55" spans="10:255" ht="15" customHeight="1" hidden="1">
      <c r="J55" s="17" t="s">
        <v>605</v>
      </c>
      <c r="K55" s="19"/>
      <c r="L55" s="19"/>
      <c r="M55" s="19"/>
      <c r="N55" s="111"/>
      <c r="O55" s="19"/>
      <c r="P55" s="19"/>
      <c r="Q55" s="19"/>
      <c r="R55" s="19"/>
      <c r="S55" s="19"/>
      <c r="T55" s="19"/>
      <c r="U55" s="17" t="s">
        <v>605</v>
      </c>
      <c r="V55" s="17" t="s">
        <v>605</v>
      </c>
      <c r="W55" s="17" t="s">
        <v>605</v>
      </c>
      <c r="X55" s="17" t="s">
        <v>605</v>
      </c>
      <c r="Y55" s="17" t="s">
        <v>605</v>
      </c>
      <c r="Z55" s="17" t="s">
        <v>605</v>
      </c>
      <c r="AA55" s="17" t="s">
        <v>605</v>
      </c>
      <c r="AB55" s="17" t="s">
        <v>605</v>
      </c>
      <c r="AC55" s="17" t="s">
        <v>605</v>
      </c>
      <c r="AD55" s="17" t="s">
        <v>605</v>
      </c>
      <c r="AE55" s="17" t="s">
        <v>605</v>
      </c>
      <c r="AF55" s="17" t="s">
        <v>605</v>
      </c>
      <c r="AG55" s="17" t="s">
        <v>605</v>
      </c>
      <c r="AH55" s="17" t="s">
        <v>605</v>
      </c>
      <c r="AI55" s="17" t="s">
        <v>605</v>
      </c>
      <c r="AJ55" s="17" t="s">
        <v>605</v>
      </c>
      <c r="AK55" s="17" t="s">
        <v>605</v>
      </c>
      <c r="AL55" s="17" t="s">
        <v>605</v>
      </c>
      <c r="AM55" s="17" t="s">
        <v>605</v>
      </c>
      <c r="AN55" s="17" t="s">
        <v>605</v>
      </c>
      <c r="AO55" s="17" t="s">
        <v>605</v>
      </c>
      <c r="AP55" s="17" t="s">
        <v>605</v>
      </c>
      <c r="AQ55" s="17" t="s">
        <v>605</v>
      </c>
      <c r="AR55" s="19" t="s">
        <v>605</v>
      </c>
      <c r="AS55" s="17" t="s">
        <v>605</v>
      </c>
      <c r="AT55" s="17" t="s">
        <v>605</v>
      </c>
      <c r="AU55" s="17" t="s">
        <v>605</v>
      </c>
      <c r="AV55" s="17" t="s">
        <v>605</v>
      </c>
      <c r="AW55" s="17" t="s">
        <v>605</v>
      </c>
      <c r="AX55" s="17" t="s">
        <v>605</v>
      </c>
      <c r="AY55" s="17" t="s">
        <v>605</v>
      </c>
      <c r="AZ55" s="17" t="s">
        <v>605</v>
      </c>
      <c r="BA55" s="17" t="s">
        <v>605</v>
      </c>
      <c r="BC55" s="303" t="s">
        <v>1167</v>
      </c>
      <c r="BF55" s="17" t="s">
        <v>605</v>
      </c>
      <c r="BG55" s="17" t="s">
        <v>605</v>
      </c>
      <c r="BH55" s="17" t="s">
        <v>605</v>
      </c>
      <c r="BI55" s="298" t="s">
        <v>605</v>
      </c>
      <c r="BJ55" s="298" t="s">
        <v>605</v>
      </c>
      <c r="BK55" s="298" t="s">
        <v>605</v>
      </c>
      <c r="BL55" s="314" t="s">
        <v>1450</v>
      </c>
      <c r="BM55" s="298" t="s">
        <v>605</v>
      </c>
      <c r="BN55" s="17" t="s">
        <v>605</v>
      </c>
      <c r="BO55" s="17" t="s">
        <v>605</v>
      </c>
      <c r="BP55" s="17" t="s">
        <v>605</v>
      </c>
      <c r="BQ55" s="17" t="s">
        <v>605</v>
      </c>
      <c r="BR55" s="17" t="s">
        <v>605</v>
      </c>
      <c r="BS55" s="17" t="s">
        <v>605</v>
      </c>
      <c r="BT55" s="17" t="s">
        <v>605</v>
      </c>
      <c r="BU55" s="17" t="s">
        <v>605</v>
      </c>
      <c r="BV55" s="17" t="s">
        <v>605</v>
      </c>
      <c r="BW55" s="17" t="s">
        <v>605</v>
      </c>
      <c r="BX55" s="17" t="s">
        <v>605</v>
      </c>
      <c r="BY55" s="17" t="s">
        <v>605</v>
      </c>
      <c r="BZ55" s="17" t="s">
        <v>605</v>
      </c>
      <c r="CA55" s="17" t="s">
        <v>605</v>
      </c>
      <c r="CB55" s="17" t="s">
        <v>605</v>
      </c>
      <c r="CC55" s="17" t="s">
        <v>605</v>
      </c>
      <c r="CD55" s="17" t="s">
        <v>605</v>
      </c>
      <c r="CE55" s="17" t="s">
        <v>605</v>
      </c>
      <c r="CF55" s="17" t="s">
        <v>605</v>
      </c>
      <c r="CG55" s="17" t="s">
        <v>605</v>
      </c>
      <c r="CH55" s="17" t="s">
        <v>605</v>
      </c>
      <c r="CI55" s="17" t="s">
        <v>605</v>
      </c>
      <c r="CJ55" s="17" t="s">
        <v>605</v>
      </c>
      <c r="CK55" s="17" t="s">
        <v>605</v>
      </c>
      <c r="CL55" s="17" t="s">
        <v>605</v>
      </c>
      <c r="CM55" s="17" t="s">
        <v>605</v>
      </c>
      <c r="CN55" s="17" t="s">
        <v>605</v>
      </c>
      <c r="CO55" s="17" t="s">
        <v>605</v>
      </c>
      <c r="CP55" s="17" t="s">
        <v>605</v>
      </c>
      <c r="CQ55" s="17" t="s">
        <v>605</v>
      </c>
      <c r="CR55" s="17" t="s">
        <v>605</v>
      </c>
      <c r="CS55" s="17" t="s">
        <v>605</v>
      </c>
      <c r="CT55" s="17" t="s">
        <v>605</v>
      </c>
      <c r="CU55" s="17" t="s">
        <v>605</v>
      </c>
      <c r="CV55" s="17" t="s">
        <v>605</v>
      </c>
      <c r="CW55" s="17" t="s">
        <v>605</v>
      </c>
      <c r="CX55" s="17" t="s">
        <v>605</v>
      </c>
      <c r="CY55" s="17" t="s">
        <v>605</v>
      </c>
      <c r="CZ55" s="17" t="s">
        <v>605</v>
      </c>
      <c r="DA55" s="17" t="s">
        <v>605</v>
      </c>
      <c r="DB55" s="17" t="s">
        <v>605</v>
      </c>
      <c r="DC55" s="17" t="s">
        <v>605</v>
      </c>
      <c r="DD55" s="17" t="s">
        <v>605</v>
      </c>
      <c r="DE55" s="17" t="s">
        <v>605</v>
      </c>
      <c r="DF55" s="17" t="s">
        <v>605</v>
      </c>
      <c r="DG55" s="17" t="s">
        <v>605</v>
      </c>
      <c r="DH55" s="17" t="s">
        <v>605</v>
      </c>
      <c r="DI55" s="17" t="s">
        <v>605</v>
      </c>
      <c r="DJ55" s="17" t="s">
        <v>605</v>
      </c>
      <c r="DK55" s="17" t="s">
        <v>605</v>
      </c>
      <c r="DL55" s="17" t="s">
        <v>605</v>
      </c>
      <c r="DM55" s="17" t="s">
        <v>605</v>
      </c>
      <c r="DN55" s="17" t="s">
        <v>605</v>
      </c>
      <c r="DO55" s="17" t="s">
        <v>605</v>
      </c>
      <c r="DP55" s="17" t="s">
        <v>605</v>
      </c>
      <c r="DQ55" s="17" t="s">
        <v>605</v>
      </c>
      <c r="DR55" s="17" t="s">
        <v>605</v>
      </c>
      <c r="DS55" s="17" t="s">
        <v>605</v>
      </c>
      <c r="DT55" s="17" t="s">
        <v>605</v>
      </c>
      <c r="DU55" s="17" t="s">
        <v>605</v>
      </c>
      <c r="DV55" s="17" t="s">
        <v>605</v>
      </c>
      <c r="DW55" s="17" t="s">
        <v>605</v>
      </c>
      <c r="DX55" s="17" t="s">
        <v>605</v>
      </c>
      <c r="DY55" s="17" t="s">
        <v>605</v>
      </c>
      <c r="DZ55" s="17" t="s">
        <v>605</v>
      </c>
      <c r="EA55" s="17" t="s">
        <v>605</v>
      </c>
      <c r="EB55" s="17" t="s">
        <v>605</v>
      </c>
      <c r="EC55" s="17" t="s">
        <v>605</v>
      </c>
      <c r="ED55" s="17" t="s">
        <v>605</v>
      </c>
      <c r="EE55" s="17" t="s">
        <v>605</v>
      </c>
      <c r="EF55" s="17" t="s">
        <v>605</v>
      </c>
      <c r="EG55" s="17" t="s">
        <v>605</v>
      </c>
      <c r="EH55" s="17" t="s">
        <v>605</v>
      </c>
      <c r="EI55" s="17" t="s">
        <v>605</v>
      </c>
      <c r="EJ55" s="17" t="s">
        <v>605</v>
      </c>
      <c r="EK55" s="17" t="s">
        <v>605</v>
      </c>
      <c r="EL55" s="17" t="s">
        <v>605</v>
      </c>
      <c r="EM55" s="17" t="s">
        <v>605</v>
      </c>
      <c r="EN55" s="17" t="s">
        <v>605</v>
      </c>
      <c r="EO55" s="17" t="s">
        <v>605</v>
      </c>
      <c r="EP55" s="17" t="s">
        <v>605</v>
      </c>
      <c r="EQ55" s="17" t="s">
        <v>605</v>
      </c>
      <c r="ER55" s="17" t="s">
        <v>605</v>
      </c>
      <c r="ES55" s="17" t="s">
        <v>605</v>
      </c>
      <c r="ET55" s="17" t="s">
        <v>605</v>
      </c>
      <c r="EU55" s="17" t="s">
        <v>605</v>
      </c>
      <c r="EV55" s="17" t="s">
        <v>605</v>
      </c>
      <c r="EW55" s="17" t="s">
        <v>605</v>
      </c>
      <c r="EX55" s="17" t="s">
        <v>605</v>
      </c>
      <c r="EY55" s="17" t="s">
        <v>605</v>
      </c>
      <c r="EZ55" s="17" t="s">
        <v>605</v>
      </c>
      <c r="FA55" s="17" t="s">
        <v>605</v>
      </c>
      <c r="FB55" s="17" t="s">
        <v>605</v>
      </c>
      <c r="FC55" s="17" t="s">
        <v>605</v>
      </c>
      <c r="FD55" s="17" t="s">
        <v>605</v>
      </c>
      <c r="FE55" s="17" t="s">
        <v>605</v>
      </c>
      <c r="FF55" s="17" t="s">
        <v>605</v>
      </c>
      <c r="FG55" s="17" t="s">
        <v>605</v>
      </c>
      <c r="FH55" s="17" t="s">
        <v>605</v>
      </c>
      <c r="FI55" s="17" t="s">
        <v>605</v>
      </c>
      <c r="FJ55" s="17" t="s">
        <v>605</v>
      </c>
      <c r="FK55" s="17" t="s">
        <v>605</v>
      </c>
      <c r="FL55" s="17" t="s">
        <v>605</v>
      </c>
      <c r="FM55" s="17" t="s">
        <v>605</v>
      </c>
      <c r="FN55" s="17" t="s">
        <v>605</v>
      </c>
      <c r="FO55" s="17" t="s">
        <v>605</v>
      </c>
      <c r="FP55" s="17" t="s">
        <v>605</v>
      </c>
      <c r="FQ55" s="17" t="s">
        <v>605</v>
      </c>
      <c r="FR55" s="17" t="s">
        <v>605</v>
      </c>
      <c r="FS55" s="17" t="s">
        <v>605</v>
      </c>
      <c r="FT55" s="17" t="s">
        <v>605</v>
      </c>
      <c r="FU55" s="17" t="s">
        <v>605</v>
      </c>
      <c r="FV55" s="17" t="s">
        <v>605</v>
      </c>
      <c r="FW55" s="17" t="s">
        <v>605</v>
      </c>
      <c r="FX55" s="17" t="s">
        <v>605</v>
      </c>
      <c r="FY55" s="17" t="s">
        <v>605</v>
      </c>
      <c r="FZ55" s="17" t="s">
        <v>605</v>
      </c>
      <c r="GA55" s="17" t="s">
        <v>605</v>
      </c>
      <c r="GB55" s="17" t="s">
        <v>605</v>
      </c>
      <c r="GC55" s="17" t="s">
        <v>605</v>
      </c>
      <c r="GD55" s="17" t="s">
        <v>605</v>
      </c>
      <c r="GE55" s="17" t="s">
        <v>605</v>
      </c>
      <c r="GF55" s="17" t="s">
        <v>605</v>
      </c>
      <c r="GG55" s="17" t="s">
        <v>605</v>
      </c>
      <c r="GH55" s="17" t="s">
        <v>605</v>
      </c>
      <c r="GI55" s="17" t="s">
        <v>605</v>
      </c>
      <c r="GJ55" s="17" t="s">
        <v>605</v>
      </c>
      <c r="GK55" s="17" t="s">
        <v>605</v>
      </c>
      <c r="GL55" s="17" t="s">
        <v>605</v>
      </c>
      <c r="GM55" s="17" t="s">
        <v>605</v>
      </c>
      <c r="GN55" s="17" t="s">
        <v>605</v>
      </c>
      <c r="GO55" s="17" t="s">
        <v>605</v>
      </c>
      <c r="GP55" s="17" t="s">
        <v>605</v>
      </c>
      <c r="GQ55" s="17" t="s">
        <v>605</v>
      </c>
      <c r="GR55" s="17" t="s">
        <v>605</v>
      </c>
      <c r="GS55" s="17" t="s">
        <v>605</v>
      </c>
      <c r="GT55" s="17" t="s">
        <v>605</v>
      </c>
      <c r="GU55" s="17" t="s">
        <v>605</v>
      </c>
      <c r="GV55" s="17" t="s">
        <v>605</v>
      </c>
      <c r="GW55" s="17" t="s">
        <v>605</v>
      </c>
      <c r="GX55" s="17" t="s">
        <v>605</v>
      </c>
      <c r="GY55" s="17" t="s">
        <v>605</v>
      </c>
      <c r="GZ55" s="17" t="s">
        <v>605</v>
      </c>
      <c r="HA55" s="17" t="s">
        <v>605</v>
      </c>
      <c r="HB55" s="17" t="s">
        <v>605</v>
      </c>
      <c r="HC55" s="17" t="s">
        <v>605</v>
      </c>
      <c r="HD55" s="17" t="s">
        <v>605</v>
      </c>
      <c r="HE55" s="17" t="s">
        <v>605</v>
      </c>
      <c r="HF55" s="17" t="s">
        <v>605</v>
      </c>
      <c r="HG55" s="17" t="s">
        <v>605</v>
      </c>
      <c r="HH55" s="17" t="s">
        <v>605</v>
      </c>
      <c r="HI55" s="17" t="s">
        <v>605</v>
      </c>
      <c r="HJ55" s="17" t="s">
        <v>605</v>
      </c>
      <c r="HK55" s="17" t="s">
        <v>605</v>
      </c>
      <c r="HL55" s="17" t="s">
        <v>605</v>
      </c>
      <c r="HM55" s="17" t="s">
        <v>605</v>
      </c>
      <c r="HN55" s="17" t="s">
        <v>605</v>
      </c>
      <c r="HO55" s="17" t="s">
        <v>605</v>
      </c>
      <c r="HP55" s="17" t="s">
        <v>605</v>
      </c>
      <c r="HQ55" s="17" t="s">
        <v>605</v>
      </c>
      <c r="HR55" s="17" t="s">
        <v>605</v>
      </c>
      <c r="HS55" s="17" t="s">
        <v>605</v>
      </c>
      <c r="HT55" s="17" t="s">
        <v>605</v>
      </c>
      <c r="HU55" s="17" t="s">
        <v>605</v>
      </c>
      <c r="HV55" s="17" t="s">
        <v>605</v>
      </c>
      <c r="HW55" s="17" t="s">
        <v>605</v>
      </c>
      <c r="HX55" s="17" t="s">
        <v>605</v>
      </c>
      <c r="HY55" s="17" t="s">
        <v>605</v>
      </c>
      <c r="HZ55" s="17" t="s">
        <v>605</v>
      </c>
      <c r="IA55" s="17" t="s">
        <v>605</v>
      </c>
      <c r="IB55" s="17" t="s">
        <v>605</v>
      </c>
      <c r="IC55" s="17" t="s">
        <v>605</v>
      </c>
      <c r="ID55" s="17" t="s">
        <v>605</v>
      </c>
      <c r="IE55" s="17" t="s">
        <v>605</v>
      </c>
      <c r="IF55" s="17" t="s">
        <v>605</v>
      </c>
      <c r="IG55" s="17" t="s">
        <v>605</v>
      </c>
      <c r="IH55" s="17" t="s">
        <v>605</v>
      </c>
      <c r="II55" s="17" t="s">
        <v>605</v>
      </c>
      <c r="IJ55" s="17" t="s">
        <v>605</v>
      </c>
      <c r="IK55" s="17" t="s">
        <v>605</v>
      </c>
      <c r="IL55" s="17" t="s">
        <v>605</v>
      </c>
      <c r="IM55" s="17" t="s">
        <v>605</v>
      </c>
      <c r="IN55" s="17" t="s">
        <v>605</v>
      </c>
      <c r="IO55" s="17" t="s">
        <v>605</v>
      </c>
      <c r="IP55" s="17" t="s">
        <v>605</v>
      </c>
      <c r="IQ55" s="17" t="s">
        <v>605</v>
      </c>
      <c r="IR55" s="17" t="s">
        <v>605</v>
      </c>
      <c r="IS55" s="17" t="s">
        <v>605</v>
      </c>
      <c r="IT55" s="17" t="s">
        <v>605</v>
      </c>
      <c r="IU55" s="17" t="s">
        <v>605</v>
      </c>
    </row>
    <row r="56" spans="11:65" ht="15" customHeight="1" hidden="1">
      <c r="K56" s="19"/>
      <c r="L56" s="19"/>
      <c r="M56" s="19"/>
      <c r="N56" s="111"/>
      <c r="O56" s="19"/>
      <c r="P56" s="19"/>
      <c r="Q56" s="19"/>
      <c r="R56" s="19"/>
      <c r="S56" s="19"/>
      <c r="T56" s="19"/>
      <c r="BC56" s="303" t="s">
        <v>1168</v>
      </c>
      <c r="BI56" s="298"/>
      <c r="BJ56" s="298"/>
      <c r="BK56" s="298"/>
      <c r="BL56" s="314" t="s">
        <v>1343</v>
      </c>
      <c r="BM56" s="298"/>
    </row>
    <row r="57" spans="11:65" ht="15" customHeight="1" hidden="1">
      <c r="K57" s="19"/>
      <c r="L57" s="19"/>
      <c r="M57" s="19"/>
      <c r="N57" s="111"/>
      <c r="O57" s="19"/>
      <c r="P57" s="19"/>
      <c r="Q57" s="19"/>
      <c r="R57" s="19"/>
      <c r="S57" s="19"/>
      <c r="T57" s="19"/>
      <c r="BC57" s="303" t="s">
        <v>1171</v>
      </c>
      <c r="BE57" s="17" t="s">
        <v>605</v>
      </c>
      <c r="BI57" s="298"/>
      <c r="BJ57" s="298"/>
      <c r="BK57" s="298"/>
      <c r="BL57" s="314" t="s">
        <v>1344</v>
      </c>
      <c r="BM57" s="298"/>
    </row>
    <row r="58" spans="11:65" ht="15" customHeight="1" hidden="1">
      <c r="K58" s="19"/>
      <c r="L58" s="19"/>
      <c r="M58" s="19"/>
      <c r="N58" s="111"/>
      <c r="O58" s="19"/>
      <c r="P58" s="19"/>
      <c r="Q58" s="19"/>
      <c r="R58" s="19"/>
      <c r="S58" s="19"/>
      <c r="T58" s="19"/>
      <c r="BC58" s="303" t="s">
        <v>1172</v>
      </c>
      <c r="BD58" s="17" t="s">
        <v>605</v>
      </c>
      <c r="BI58" s="298"/>
      <c r="BJ58" s="298"/>
      <c r="BK58" s="298"/>
      <c r="BL58" s="314" t="s">
        <v>1345</v>
      </c>
      <c r="BM58" s="298"/>
    </row>
    <row r="59" spans="11:65" ht="15" customHeight="1" hidden="1">
      <c r="K59" s="19"/>
      <c r="L59" s="19"/>
      <c r="M59" s="19"/>
      <c r="N59" s="111"/>
      <c r="O59" s="19"/>
      <c r="P59" s="19"/>
      <c r="Q59" s="19"/>
      <c r="R59" s="19"/>
      <c r="S59" s="19"/>
      <c r="T59" s="19"/>
      <c r="BB59" s="17" t="s">
        <v>605</v>
      </c>
      <c r="BC59" s="303" t="s">
        <v>1169</v>
      </c>
      <c r="BI59" s="298"/>
      <c r="BJ59" s="298"/>
      <c r="BK59" s="298"/>
      <c r="BL59" s="314" t="s">
        <v>1346</v>
      </c>
      <c r="BM59" s="298"/>
    </row>
    <row r="60" spans="11:65" ht="15" customHeight="1" hidden="1">
      <c r="K60" s="19"/>
      <c r="L60" s="19"/>
      <c r="M60" s="19"/>
      <c r="N60" s="111"/>
      <c r="O60" s="19"/>
      <c r="P60" s="19"/>
      <c r="Q60" s="19"/>
      <c r="R60" s="19"/>
      <c r="S60" s="19"/>
      <c r="T60" s="19"/>
      <c r="BC60" s="303" t="s">
        <v>1170</v>
      </c>
      <c r="BI60" s="298"/>
      <c r="BJ60" s="298"/>
      <c r="BK60" s="298"/>
      <c r="BL60" s="314"/>
      <c r="BM60" s="298"/>
    </row>
    <row r="61" spans="11:65" ht="15" customHeight="1" hidden="1">
      <c r="K61" s="19"/>
      <c r="L61" s="19"/>
      <c r="M61" s="19"/>
      <c r="N61" s="111"/>
      <c r="O61" s="19"/>
      <c r="P61" s="19"/>
      <c r="Q61" s="19"/>
      <c r="R61" s="19"/>
      <c r="S61" s="19"/>
      <c r="T61" s="19"/>
      <c r="BC61" s="303" t="s">
        <v>1218</v>
      </c>
      <c r="BI61" s="298"/>
      <c r="BJ61" s="298"/>
      <c r="BK61" s="298"/>
      <c r="BL61" s="314"/>
      <c r="BM61" s="298"/>
    </row>
    <row r="62" spans="11:65" ht="15" customHeight="1" hidden="1">
      <c r="K62" s="19"/>
      <c r="L62" s="19"/>
      <c r="M62" s="19"/>
      <c r="N62" s="111"/>
      <c r="O62" s="19"/>
      <c r="P62" s="19"/>
      <c r="Q62" s="19"/>
      <c r="R62" s="19"/>
      <c r="S62" s="19"/>
      <c r="T62" s="19"/>
      <c r="BC62" s="303" t="s">
        <v>1240</v>
      </c>
      <c r="BI62" s="298"/>
      <c r="BJ62" s="298"/>
      <c r="BK62" s="298"/>
      <c r="BL62" s="298"/>
      <c r="BM62" s="298"/>
    </row>
    <row r="63" spans="11:65" ht="15" customHeight="1" hidden="1">
      <c r="K63" s="19"/>
      <c r="L63" s="19"/>
      <c r="M63" s="19"/>
      <c r="N63" s="111"/>
      <c r="O63" s="19"/>
      <c r="P63" s="19"/>
      <c r="Q63" s="19"/>
      <c r="R63" s="19"/>
      <c r="S63" s="19"/>
      <c r="T63" s="19"/>
      <c r="BC63" s="314" t="s">
        <v>1489</v>
      </c>
      <c r="BI63" s="298"/>
      <c r="BJ63" s="298"/>
      <c r="BK63" s="298"/>
      <c r="BL63" s="298"/>
      <c r="BM63" s="298"/>
    </row>
    <row r="64" spans="11:55" ht="15" customHeight="1" hidden="1">
      <c r="K64" s="19"/>
      <c r="L64" s="19"/>
      <c r="M64" s="19"/>
      <c r="N64" s="111"/>
      <c r="O64" s="19"/>
      <c r="P64" s="19"/>
      <c r="Q64" s="19"/>
      <c r="R64" s="19"/>
      <c r="S64" s="19"/>
      <c r="T64" s="19"/>
      <c r="BC64" s="314" t="s">
        <v>1492</v>
      </c>
    </row>
    <row r="65" spans="11:20" ht="15" customHeight="1" hidden="1">
      <c r="K65" s="19"/>
      <c r="L65" s="19"/>
      <c r="M65" s="19"/>
      <c r="N65" s="111"/>
      <c r="O65" s="19"/>
      <c r="P65" s="19"/>
      <c r="Q65" s="19"/>
      <c r="R65" s="19"/>
      <c r="S65" s="19"/>
      <c r="T65" s="19"/>
    </row>
    <row r="66" spans="11:20" ht="15" customHeight="1" hidden="1">
      <c r="K66" s="19"/>
      <c r="L66" s="19"/>
      <c r="M66" s="19"/>
      <c r="N66" s="111"/>
      <c r="O66" s="19"/>
      <c r="P66" s="19"/>
      <c r="Q66" s="19"/>
      <c r="R66" s="19"/>
      <c r="S66" s="19"/>
      <c r="T66" s="19"/>
    </row>
    <row r="67" spans="11:20" ht="15" customHeight="1" hidden="1">
      <c r="K67" s="19"/>
      <c r="L67" s="19"/>
      <c r="M67" s="19"/>
      <c r="N67" s="111"/>
      <c r="O67" s="19"/>
      <c r="P67" s="19"/>
      <c r="Q67" s="19"/>
      <c r="R67" s="19"/>
      <c r="S67" s="19"/>
      <c r="T67" s="19"/>
    </row>
    <row r="68" spans="11:20" ht="15" customHeight="1" hidden="1">
      <c r="K68" s="19"/>
      <c r="L68" s="19"/>
      <c r="M68" s="19"/>
      <c r="N68" s="111"/>
      <c r="O68" s="19"/>
      <c r="P68" s="19"/>
      <c r="Q68" s="19"/>
      <c r="R68" s="19"/>
      <c r="S68" s="19"/>
      <c r="T68" s="19"/>
    </row>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spans="16:20" ht="15" customHeight="1" hidden="1">
      <c r="P79" s="112"/>
      <c r="Q79" s="112"/>
      <c r="R79" s="112"/>
      <c r="S79" s="112"/>
      <c r="T79" s="112"/>
    </row>
    <row r="80" ht="15" customHeight="1" hidden="1"/>
    <row r="81" ht="15" customHeight="1"/>
    <row r="82" ht="15" customHeight="1"/>
    <row r="83" ht="15" customHeight="1"/>
    <row r="84" ht="15" customHeight="1"/>
    <row r="85" ht="15" customHeight="1"/>
    <row r="86" ht="15" customHeight="1"/>
    <row r="87" ht="15" customHeight="1">
      <c r="BF87" s="298"/>
    </row>
    <row r="88" ht="15" customHeight="1"/>
    <row r="98" spans="2:4" ht="15.75" customHeight="1">
      <c r="B98" s="75"/>
      <c r="C98" s="75"/>
      <c r="D98" s="75"/>
    </row>
    <row r="99" spans="2:4" ht="15.75" customHeight="1">
      <c r="B99" s="75"/>
      <c r="C99" s="75"/>
      <c r="D99" s="75"/>
    </row>
    <row r="100" spans="2:9" ht="15.75" customHeight="1">
      <c r="B100" s="17" t="s">
        <v>605</v>
      </c>
      <c r="E100" s="74" t="s">
        <v>605</v>
      </c>
      <c r="F100" s="74" t="s">
        <v>605</v>
      </c>
      <c r="G100" s="74" t="s">
        <v>605</v>
      </c>
      <c r="H100" s="74" t="s">
        <v>605</v>
      </c>
      <c r="I100" s="74" t="s">
        <v>605</v>
      </c>
    </row>
  </sheetData>
  <sheetProtection password="9D8A" sheet="1" selectLockedCells="1"/>
  <mergeCells count="34">
    <mergeCell ref="H7:I7"/>
    <mergeCell ref="H11:I11"/>
    <mergeCell ref="H21:I21"/>
    <mergeCell ref="A10:I10"/>
    <mergeCell ref="A11:D11"/>
    <mergeCell ref="B17:D17"/>
    <mergeCell ref="B16:D16"/>
    <mergeCell ref="B39:D39"/>
    <mergeCell ref="B40:D40"/>
    <mergeCell ref="B27:D27"/>
    <mergeCell ref="B26:D26"/>
    <mergeCell ref="B14:D14"/>
    <mergeCell ref="A22:D22"/>
    <mergeCell ref="B24:D24"/>
    <mergeCell ref="B25:D25"/>
    <mergeCell ref="B15:D15"/>
    <mergeCell ref="B19:D19"/>
    <mergeCell ref="B29:D29"/>
    <mergeCell ref="B38:D38"/>
    <mergeCell ref="B37:D37"/>
    <mergeCell ref="B32:D32"/>
    <mergeCell ref="B18:D18"/>
    <mergeCell ref="A21:D21"/>
    <mergeCell ref="B31:D31"/>
    <mergeCell ref="H41:I41"/>
    <mergeCell ref="BI24:BM24"/>
    <mergeCell ref="B36:D36"/>
    <mergeCell ref="B35:D35"/>
    <mergeCell ref="B28:D28"/>
    <mergeCell ref="B33:D33"/>
    <mergeCell ref="B34:D34"/>
    <mergeCell ref="B30:D30"/>
    <mergeCell ref="BB24:BF24"/>
    <mergeCell ref="E41:F41"/>
  </mergeCells>
  <dataValidations count="3">
    <dataValidation type="textLength" allowBlank="1" showInputMessage="1" showErrorMessage="1" sqref="E14:I19 E24:I40">
      <formula1>1</formula1>
      <formula2>1</formula2>
    </dataValidation>
    <dataValidation type="list" allowBlank="1" showInputMessage="1" prompt="Place an &quot;X&quot; in the appropriate column to show list.  Manually enter chapter activities and other approved area activities." sqref="B25:D40 B24:D24">
      <formula1>INDIRECT($K25)</formula1>
    </dataValidation>
    <dataValidation type="list" allowBlank="1" showInputMessage="1" prompt="Place an &quot;X&quot; in the appropriate column to show list.  Manually enter requested information in parentheses.  " sqref="B14:D19">
      <formula1>INDIRECT($K14)</formula1>
    </dataValidation>
  </dataValidations>
  <printOptions horizontalCentered="1" verticalCentered="1"/>
  <pageMargins left="0.25" right="0.25" top="0.45" bottom="0.25" header="0" footer="0"/>
  <pageSetup fitToHeight="1" fitToWidth="1" horizontalDpi="300" verticalDpi="300" orientation="portrait" r:id="rId2"/>
  <drawing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IM79"/>
  <sheetViews>
    <sheetView showGridLines="0" showZeros="0" zoomScalePageLayoutView="0" workbookViewId="0" topLeftCell="A1">
      <selection activeCell="A38" sqref="A38"/>
    </sheetView>
  </sheetViews>
  <sheetFormatPr defaultColWidth="10.7109375" defaultRowHeight="15.75" customHeight="1"/>
  <cols>
    <col min="1" max="1" width="10.421875" style="17" customWidth="1"/>
    <col min="2" max="2" width="34.00390625" style="17" customWidth="1"/>
    <col min="3" max="3" width="6.28125" style="17" customWidth="1"/>
    <col min="4" max="4" width="6.28125" style="75" customWidth="1"/>
    <col min="5" max="6" width="6.28125" style="17" customWidth="1"/>
    <col min="7" max="10" width="7.00390625" style="17" customWidth="1"/>
    <col min="11" max="32" width="8.7109375" style="17" hidden="1" customWidth="1"/>
    <col min="33" max="33" width="13.421875" style="17" hidden="1" customWidth="1"/>
    <col min="34" max="34" width="47.28125" style="19" hidden="1" customWidth="1"/>
    <col min="35" max="35" width="13.421875" style="17" hidden="1" customWidth="1"/>
    <col min="36" max="48" width="8.7109375" style="17" hidden="1" customWidth="1"/>
    <col min="49" max="49" width="35.7109375" style="17" hidden="1" customWidth="1"/>
    <col min="50" max="50" width="10.7109375" style="17" hidden="1" customWidth="1"/>
    <col min="51" max="51" width="12.7109375" style="17" hidden="1" customWidth="1"/>
    <col min="52" max="52" width="11.28125" style="17" hidden="1" customWidth="1"/>
    <col min="53" max="53" width="13.7109375" style="17" hidden="1" customWidth="1"/>
    <col min="54" max="56" width="8.7109375" style="17" hidden="1" customWidth="1"/>
    <col min="57" max="57" width="42.140625" style="17" hidden="1" customWidth="1"/>
    <col min="58" max="87" width="8.7109375" style="17" hidden="1" customWidth="1"/>
    <col min="88" max="117" width="8.7109375" style="17" customWidth="1"/>
    <col min="118" max="247" width="12.7109375" style="17" customWidth="1"/>
    <col min="248" max="16384" width="10.7109375" style="17" customWidth="1"/>
  </cols>
  <sheetData>
    <row r="1" spans="1:13" ht="15" customHeight="1">
      <c r="A1" s="233"/>
      <c r="M1" s="17" t="s">
        <v>589</v>
      </c>
    </row>
    <row r="2" ht="15" customHeight="1"/>
    <row r="3" ht="15" customHeight="1"/>
    <row r="4" ht="15" customHeight="1"/>
    <row r="5" ht="15" customHeight="1"/>
    <row r="6" spans="12:16" ht="15" customHeight="1">
      <c r="L6" s="17" t="s">
        <v>641</v>
      </c>
      <c r="M6" s="17">
        <f>G11+D17+G26+G36</f>
        <v>0</v>
      </c>
      <c r="O6" s="17" t="s">
        <v>800</v>
      </c>
      <c r="P6" s="17">
        <f>F11+C17+F26+P17</f>
        <v>0</v>
      </c>
    </row>
    <row r="7" ht="15" customHeight="1">
      <c r="AH7" s="124" t="s">
        <v>799</v>
      </c>
    </row>
    <row r="8" spans="13:34" ht="18" customHeight="1">
      <c r="M8" s="331" t="s">
        <v>589</v>
      </c>
      <c r="AH8" s="124" t="s">
        <v>799</v>
      </c>
    </row>
    <row r="9" spans="1:34" ht="29.25" customHeight="1">
      <c r="A9" s="83" t="s">
        <v>802</v>
      </c>
      <c r="B9" s="83"/>
      <c r="C9" s="83"/>
      <c r="D9" s="163"/>
      <c r="E9" s="28"/>
      <c r="F9" s="28"/>
      <c r="G9" s="1008" t="str">
        <f>$N$18</f>
        <v> </v>
      </c>
      <c r="H9" s="1009"/>
      <c r="I9" s="1009"/>
      <c r="J9" s="1009"/>
      <c r="AH9" s="124" t="s">
        <v>799</v>
      </c>
    </row>
    <row r="10" spans="1:36" ht="24.75" customHeight="1">
      <c r="A10" s="1010" t="s">
        <v>655</v>
      </c>
      <c r="B10" s="1011"/>
      <c r="C10" s="51" t="s">
        <v>656</v>
      </c>
      <c r="D10" s="79"/>
      <c r="E10" s="80"/>
      <c r="F10" s="153" t="s">
        <v>794</v>
      </c>
      <c r="G10" s="154" t="s">
        <v>625</v>
      </c>
      <c r="H10" s="155" t="s">
        <v>796</v>
      </c>
      <c r="I10" s="1015" t="s">
        <v>795</v>
      </c>
      <c r="J10" s="1016"/>
      <c r="L10" s="17">
        <f>IF($N$18=$L$16,"ERR",$T$16)</f>
        <v>0</v>
      </c>
      <c r="P10" s="17" t="s">
        <v>657</v>
      </c>
      <c r="Q10" s="17">
        <v>1</v>
      </c>
      <c r="R10" s="17" t="s">
        <v>657</v>
      </c>
      <c r="S10" s="17" t="s">
        <v>658</v>
      </c>
      <c r="V10" s="17" t="s">
        <v>659</v>
      </c>
      <c r="W10" s="17" t="s">
        <v>660</v>
      </c>
      <c r="AG10" s="18">
        <v>1</v>
      </c>
      <c r="AH10" s="19" t="s">
        <v>799</v>
      </c>
      <c r="AI10" s="17">
        <v>0</v>
      </c>
      <c r="AJ10" s="18">
        <v>1</v>
      </c>
    </row>
    <row r="11" spans="1:60" ht="24.75" customHeight="1">
      <c r="A11" s="149" t="s">
        <v>642</v>
      </c>
      <c r="B11" s="984" t="s">
        <v>1233</v>
      </c>
      <c r="C11" s="985"/>
      <c r="D11" s="985"/>
      <c r="E11" s="986"/>
      <c r="F11" s="167">
        <f>$L$10</f>
        <v>0</v>
      </c>
      <c r="G11" s="167">
        <f>$L$12</f>
        <v>0</v>
      </c>
      <c r="H11" s="36"/>
      <c r="I11" s="982"/>
      <c r="J11" s="983"/>
      <c r="P11" s="17" t="s">
        <v>662</v>
      </c>
      <c r="S11" s="17" t="s">
        <v>663</v>
      </c>
      <c r="AG11" s="18">
        <v>2</v>
      </c>
      <c r="AH11" s="19" t="s">
        <v>664</v>
      </c>
      <c r="AI11" s="18">
        <v>40</v>
      </c>
      <c r="AJ11" s="18">
        <v>2</v>
      </c>
      <c r="AW11" s="992" t="s">
        <v>981</v>
      </c>
      <c r="AX11" s="993"/>
      <c r="AY11" s="993"/>
      <c r="AZ11" s="993"/>
      <c r="BA11" s="993"/>
      <c r="BB11" s="994"/>
      <c r="BE11" s="992" t="s">
        <v>1035</v>
      </c>
      <c r="BF11" s="993"/>
      <c r="BG11" s="993"/>
      <c r="BH11" s="994"/>
    </row>
    <row r="12" spans="1:60" s="19" customFormat="1" ht="19.5" customHeight="1">
      <c r="A12" s="316"/>
      <c r="B12" s="975" t="s">
        <v>799</v>
      </c>
      <c r="C12" s="976"/>
      <c r="D12" s="976"/>
      <c r="E12" s="977"/>
      <c r="F12" s="987" t="s">
        <v>1152</v>
      </c>
      <c r="G12" s="988"/>
      <c r="H12" s="988"/>
      <c r="I12" s="988"/>
      <c r="J12" s="989"/>
      <c r="L12" s="19">
        <f>IF($N$18=$L$16,"ERR",$M$12)</f>
        <v>0</v>
      </c>
      <c r="M12" s="36">
        <f>IF($T$16&lt;100,$T$16,100)</f>
        <v>0</v>
      </c>
      <c r="O12" s="18"/>
      <c r="AG12" s="18">
        <v>3</v>
      </c>
      <c r="AH12" s="19" t="s">
        <v>669</v>
      </c>
      <c r="AI12" s="18">
        <v>30</v>
      </c>
      <c r="AJ12" s="18">
        <v>3</v>
      </c>
      <c r="AW12" s="297" t="s">
        <v>982</v>
      </c>
      <c r="AX12" s="297" t="s">
        <v>983</v>
      </c>
      <c r="AY12" s="297" t="s">
        <v>984</v>
      </c>
      <c r="AZ12" s="297" t="s">
        <v>985</v>
      </c>
      <c r="BA12" s="297" t="s">
        <v>986</v>
      </c>
      <c r="BB12" s="297"/>
      <c r="BE12" s="297" t="s">
        <v>982</v>
      </c>
      <c r="BF12" s="297" t="s">
        <v>1036</v>
      </c>
      <c r="BG12" s="297" t="s">
        <v>1037</v>
      </c>
      <c r="BH12" s="297"/>
    </row>
    <row r="13" spans="1:60" ht="19.5" customHeight="1">
      <c r="A13" s="316"/>
      <c r="B13" s="975" t="s">
        <v>799</v>
      </c>
      <c r="C13" s="976"/>
      <c r="D13" s="976"/>
      <c r="E13" s="977"/>
      <c r="F13" s="1001" t="s">
        <v>1153</v>
      </c>
      <c r="G13" s="1002"/>
      <c r="H13" s="1002"/>
      <c r="I13" s="1002"/>
      <c r="J13" s="1003"/>
      <c r="L13" s="17" t="s">
        <v>589</v>
      </c>
      <c r="O13" s="18" t="s">
        <v>668</v>
      </c>
      <c r="S13" s="17">
        <f>LOOKUP($AH$7,$AH$10:$AJ$34)</f>
        <v>1</v>
      </c>
      <c r="T13" s="17">
        <f>VLOOKUP(B12,AH10:AI33,2,FALSE)</f>
        <v>0</v>
      </c>
      <c r="V13" s="17">
        <f>IF($S$13&gt;1,0,1)</f>
        <v>1</v>
      </c>
      <c r="W13" s="17">
        <f>COUNTBLANK($A$12:$A$12)</f>
        <v>1</v>
      </c>
      <c r="AG13" s="18">
        <v>4</v>
      </c>
      <c r="AH13" s="19" t="s">
        <v>672</v>
      </c>
      <c r="AI13" s="18">
        <v>30</v>
      </c>
      <c r="AJ13" s="18">
        <v>4</v>
      </c>
      <c r="AV13" s="17" t="s">
        <v>989</v>
      </c>
      <c r="AW13" s="314" t="s">
        <v>1362</v>
      </c>
      <c r="AX13" s="298"/>
      <c r="AY13" s="298"/>
      <c r="AZ13" s="298">
        <v>20</v>
      </c>
      <c r="BA13" s="298">
        <v>20</v>
      </c>
      <c r="BB13" s="298"/>
      <c r="BE13" s="297" t="s">
        <v>1435</v>
      </c>
      <c r="BF13" s="297"/>
      <c r="BG13" s="297"/>
      <c r="BH13" s="297"/>
    </row>
    <row r="14" spans="1:60" ht="19.5" customHeight="1">
      <c r="A14" s="316"/>
      <c r="B14" s="975" t="s">
        <v>799</v>
      </c>
      <c r="C14" s="976"/>
      <c r="D14" s="976"/>
      <c r="E14" s="977"/>
      <c r="F14" s="1004" t="s">
        <v>1151</v>
      </c>
      <c r="G14" s="1005"/>
      <c r="H14" s="1005"/>
      <c r="I14" s="1005"/>
      <c r="J14" s="1006"/>
      <c r="K14" s="17" t="s">
        <v>589</v>
      </c>
      <c r="O14" s="18" t="s">
        <v>671</v>
      </c>
      <c r="P14" s="17">
        <f>IF($G$11&lt;101,$G$11,$R$10)</f>
        <v>0</v>
      </c>
      <c r="Q14" s="17">
        <f>$H$11</f>
        <v>0</v>
      </c>
      <c r="S14" s="41">
        <f>LOOKUP($AH$8,$AH$10:$AJ$34)</f>
        <v>1</v>
      </c>
      <c r="T14" s="17">
        <f>VLOOKUP(B13,AH10:AI33,2,FALSE)</f>
        <v>0</v>
      </c>
      <c r="V14" s="17">
        <f>IF($S$14&gt;1,0,1)</f>
        <v>1</v>
      </c>
      <c r="W14" s="17">
        <f>COUNTBLANK($A$13:$A$13)</f>
        <v>1</v>
      </c>
      <c r="Z14" s="41"/>
      <c r="AA14" s="41"/>
      <c r="AB14" s="41"/>
      <c r="AC14" s="41"/>
      <c r="AD14" s="41"/>
      <c r="AE14" s="41"/>
      <c r="AG14" s="18">
        <v>5</v>
      </c>
      <c r="AH14" s="19" t="s">
        <v>694</v>
      </c>
      <c r="AI14" s="18">
        <v>30</v>
      </c>
      <c r="AJ14" s="18">
        <v>5</v>
      </c>
      <c r="AV14" s="17" t="s">
        <v>990</v>
      </c>
      <c r="AW14" s="314" t="s">
        <v>1438</v>
      </c>
      <c r="AX14" s="298">
        <v>0</v>
      </c>
      <c r="AY14" s="298">
        <v>10</v>
      </c>
      <c r="AZ14" s="298">
        <v>20</v>
      </c>
      <c r="BA14" s="298">
        <v>25</v>
      </c>
      <c r="BB14" s="298"/>
      <c r="BE14" s="313" t="s">
        <v>1359</v>
      </c>
      <c r="BF14" s="297">
        <v>8</v>
      </c>
      <c r="BG14" s="297">
        <v>10</v>
      </c>
      <c r="BH14" s="297"/>
    </row>
    <row r="15" spans="1:60" ht="18" customHeight="1">
      <c r="A15" s="165" t="str">
        <f>$K$25</f>
        <v> </v>
      </c>
      <c r="B15" s="164"/>
      <c r="C15" s="82"/>
      <c r="D15" s="89"/>
      <c r="E15" s="82"/>
      <c r="F15" s="82"/>
      <c r="G15" s="54"/>
      <c r="H15" s="54"/>
      <c r="I15" s="160"/>
      <c r="J15" s="166" t="str">
        <f>$K$15</f>
        <v> </v>
      </c>
      <c r="K15" s="55" t="str">
        <f>IF(COUNTBLANK($B$19:$B$23)&lt;5,IF($D$17=0,"Points Missing",$K$14),$K$14)</f>
        <v> </v>
      </c>
      <c r="O15" s="18" t="s">
        <v>677</v>
      </c>
      <c r="P15" s="17">
        <f>IF($D$17&lt;41,$D$17,$Q$10)</f>
        <v>0</v>
      </c>
      <c r="Q15" s="17">
        <f>$D$17</f>
        <v>0</v>
      </c>
      <c r="S15" s="41">
        <f>LOOKUP($AH$9,$AH$10:$AJ$34)</f>
        <v>1</v>
      </c>
      <c r="T15" s="17">
        <f>VLOOKUP(B14,AH10:AI33,2,FALSE)</f>
        <v>0</v>
      </c>
      <c r="V15" s="17">
        <f>IF($S$15&gt;1,0,1)</f>
        <v>1</v>
      </c>
      <c r="W15" s="17">
        <f>COUNTBLANK($A$14:$A$14)</f>
        <v>1</v>
      </c>
      <c r="Z15" s="41"/>
      <c r="AA15" s="41"/>
      <c r="AB15" s="41"/>
      <c r="AC15" s="41"/>
      <c r="AD15" s="41"/>
      <c r="AE15" s="41"/>
      <c r="AG15" s="18">
        <v>6</v>
      </c>
      <c r="AH15" s="19" t="s">
        <v>695</v>
      </c>
      <c r="AI15" s="18">
        <v>30</v>
      </c>
      <c r="AJ15" s="18">
        <v>6</v>
      </c>
      <c r="AN15" s="17" t="s">
        <v>589</v>
      </c>
      <c r="AV15" s="17" t="s">
        <v>992</v>
      </c>
      <c r="AW15" s="298" t="s">
        <v>991</v>
      </c>
      <c r="AX15" s="298">
        <v>0</v>
      </c>
      <c r="AY15" s="298">
        <v>10</v>
      </c>
      <c r="AZ15" s="298">
        <v>20</v>
      </c>
      <c r="BA15" s="298">
        <v>25</v>
      </c>
      <c r="BB15" s="298"/>
      <c r="BE15" s="313" t="s">
        <v>1360</v>
      </c>
      <c r="BF15" s="297">
        <v>8</v>
      </c>
      <c r="BG15" s="297">
        <v>10</v>
      </c>
      <c r="BH15" s="297"/>
    </row>
    <row r="16" spans="1:60" ht="24.75" customHeight="1">
      <c r="A16" s="971" t="s">
        <v>679</v>
      </c>
      <c r="B16" s="973"/>
      <c r="C16" s="153" t="s">
        <v>794</v>
      </c>
      <c r="D16" s="154" t="s">
        <v>625</v>
      </c>
      <c r="E16" s="155" t="s">
        <v>796</v>
      </c>
      <c r="F16" s="161" t="s">
        <v>795</v>
      </c>
      <c r="G16" s="1012" t="s">
        <v>680</v>
      </c>
      <c r="H16" s="1013"/>
      <c r="I16" s="1014" t="s">
        <v>680</v>
      </c>
      <c r="J16" s="1000"/>
      <c r="L16" s="17" t="s">
        <v>681</v>
      </c>
      <c r="M16" s="17" t="s">
        <v>589</v>
      </c>
      <c r="N16" s="17" t="s">
        <v>589</v>
      </c>
      <c r="O16" s="18" t="s">
        <v>682</v>
      </c>
      <c r="P16" s="17">
        <f>IF($G$26&lt;76,$G$26,$Q$10)</f>
        <v>0</v>
      </c>
      <c r="Q16" s="17">
        <f>+$G$26</f>
        <v>0</v>
      </c>
      <c r="S16" s="39">
        <f>SUM($S$13:$S$15)</f>
        <v>3</v>
      </c>
      <c r="T16" s="17">
        <f>SUM($T$13:$T$15)</f>
        <v>0</v>
      </c>
      <c r="U16" s="19"/>
      <c r="V16" s="19">
        <f>IF($V$13=$W$13,IF($V$14=$W$14,IF($V$15=$W$15,0,1),1),1)</f>
        <v>0</v>
      </c>
      <c r="Z16" s="41"/>
      <c r="AA16" s="41">
        <f>IF(AH7=" SELECT",10,5)</f>
        <v>10</v>
      </c>
      <c r="AB16" s="41"/>
      <c r="AC16" s="41">
        <f>IF(COUNTBLANK(J19:J23)&lt;5,10,50)</f>
        <v>50</v>
      </c>
      <c r="AD16" s="288"/>
      <c r="AE16" s="41"/>
      <c r="AG16" s="18">
        <v>7</v>
      </c>
      <c r="AH16" s="19" t="s">
        <v>693</v>
      </c>
      <c r="AI16" s="18">
        <v>30</v>
      </c>
      <c r="AJ16" s="18">
        <v>7</v>
      </c>
      <c r="AN16" s="17" t="str">
        <f>IF(D17&gt;0,IF(C17&gt;0,AN15,AN17),AN17)</f>
        <v>(You Must Figure &amp; put Points in Caps Off Box!)</v>
      </c>
      <c r="AV16" s="17" t="s">
        <v>994</v>
      </c>
      <c r="AW16" s="298" t="s">
        <v>993</v>
      </c>
      <c r="AX16" s="298">
        <v>0</v>
      </c>
      <c r="AY16" s="298">
        <v>10</v>
      </c>
      <c r="AZ16" s="298">
        <v>20</v>
      </c>
      <c r="BA16" s="298">
        <v>25</v>
      </c>
      <c r="BB16" s="298"/>
      <c r="BE16" s="313" t="s">
        <v>1361</v>
      </c>
      <c r="BF16" s="297">
        <v>8</v>
      </c>
      <c r="BG16" s="297">
        <v>10</v>
      </c>
      <c r="BH16" s="297"/>
    </row>
    <row r="17" spans="1:60" ht="24.75" customHeight="1">
      <c r="A17" s="740" t="s">
        <v>1437</v>
      </c>
      <c r="C17" s="635">
        <f>SUM(AU19:AU23)</f>
        <v>0</v>
      </c>
      <c r="D17" s="125">
        <f>IF($C$17&lt;=40,$C$17,40)</f>
        <v>0</v>
      </c>
      <c r="E17" s="125"/>
      <c r="F17" s="162"/>
      <c r="G17" s="1017" t="s">
        <v>684</v>
      </c>
      <c r="H17" s="1018"/>
      <c r="I17" s="990" t="s">
        <v>684</v>
      </c>
      <c r="J17" s="991"/>
      <c r="M17" s="90"/>
      <c r="O17" s="18" t="s">
        <v>685</v>
      </c>
      <c r="P17" s="17">
        <f>IF($G$36&lt;21,$G$36,$Q$10)</f>
        <v>0</v>
      </c>
      <c r="Q17" s="17">
        <f>$G$36</f>
        <v>0</v>
      </c>
      <c r="S17" s="39"/>
      <c r="U17" s="19"/>
      <c r="V17" s="19"/>
      <c r="Z17" s="41"/>
      <c r="AA17" s="41">
        <f>IF(AH8=" SELECT",10,5)</f>
        <v>10</v>
      </c>
      <c r="AB17" s="41"/>
      <c r="AC17" s="41"/>
      <c r="AD17" s="288"/>
      <c r="AE17" s="41"/>
      <c r="AG17" s="18">
        <v>8</v>
      </c>
      <c r="AH17" s="19" t="s">
        <v>666</v>
      </c>
      <c r="AI17" s="18">
        <v>30</v>
      </c>
      <c r="AJ17" s="18">
        <v>8</v>
      </c>
      <c r="AN17" s="58" t="s">
        <v>798</v>
      </c>
      <c r="AV17" s="17" t="s">
        <v>995</v>
      </c>
      <c r="AW17" s="298" t="s">
        <v>996</v>
      </c>
      <c r="AX17" s="298">
        <v>0</v>
      </c>
      <c r="AY17" s="298">
        <v>10</v>
      </c>
      <c r="AZ17" s="298">
        <v>20</v>
      </c>
      <c r="BA17" s="298">
        <v>25</v>
      </c>
      <c r="BB17" s="298"/>
      <c r="BE17" s="314" t="s">
        <v>1220</v>
      </c>
      <c r="BF17" s="298">
        <v>8</v>
      </c>
      <c r="BG17" s="298">
        <v>10</v>
      </c>
      <c r="BH17" s="298"/>
    </row>
    <row r="18" spans="1:60" ht="24.75" customHeight="1">
      <c r="A18" s="149" t="s">
        <v>642</v>
      </c>
      <c r="B18" s="159" t="s">
        <v>688</v>
      </c>
      <c r="C18" s="86"/>
      <c r="D18" s="91"/>
      <c r="E18" s="92"/>
      <c r="F18" s="93"/>
      <c r="G18" s="34" t="s">
        <v>674</v>
      </c>
      <c r="H18" s="35" t="s">
        <v>627</v>
      </c>
      <c r="I18" s="132" t="s">
        <v>689</v>
      </c>
      <c r="J18" s="52" t="s">
        <v>690</v>
      </c>
      <c r="N18" s="331" t="s">
        <v>589</v>
      </c>
      <c r="P18" s="17">
        <f>SUM($P$12:$P$17)</f>
        <v>0</v>
      </c>
      <c r="Q18" s="17">
        <f>SUM($Q$12:$Q$17)</f>
        <v>0</v>
      </c>
      <c r="S18" s="39">
        <f>IF($A$24=$AC$27,$R$10,IF($A$15=$L$20,$R$10,IF($P$18=$Q$18,$P$18,$R$10)))</f>
        <v>0</v>
      </c>
      <c r="T18" s="17">
        <f>IF($A$24=$AC$27,$R$10,IF($A$15=$L$20,$R$10,IF($S$18&lt;401,$S$18,$R$10)))</f>
        <v>0</v>
      </c>
      <c r="U18" s="19"/>
      <c r="V18" s="19"/>
      <c r="Z18" s="41"/>
      <c r="AA18" s="41">
        <f>IF(AH9=" SELECT",10,5)</f>
        <v>10</v>
      </c>
      <c r="AB18" s="41"/>
      <c r="AC18" s="41"/>
      <c r="AD18" s="288"/>
      <c r="AE18" s="41"/>
      <c r="AG18" s="18">
        <v>9</v>
      </c>
      <c r="AH18" s="19" t="s">
        <v>691</v>
      </c>
      <c r="AI18" s="18">
        <v>30</v>
      </c>
      <c r="AJ18" s="18">
        <v>9</v>
      </c>
      <c r="AV18" s="17" t="s">
        <v>997</v>
      </c>
      <c r="AW18" s="298" t="s">
        <v>998</v>
      </c>
      <c r="AX18" s="298">
        <v>0</v>
      </c>
      <c r="AY18" s="298">
        <v>10</v>
      </c>
      <c r="AZ18" s="298">
        <v>20</v>
      </c>
      <c r="BA18" s="298">
        <v>25</v>
      </c>
      <c r="BB18" s="298"/>
      <c r="BE18" s="314" t="s">
        <v>1241</v>
      </c>
      <c r="BF18" s="298">
        <v>8</v>
      </c>
      <c r="BG18" s="298">
        <v>10</v>
      </c>
      <c r="BH18" s="298"/>
    </row>
    <row r="19" spans="1:60" ht="18" customHeight="1">
      <c r="A19" s="316"/>
      <c r="B19" s="981"/>
      <c r="C19" s="979"/>
      <c r="D19" s="979"/>
      <c r="E19" s="979"/>
      <c r="F19" s="980"/>
      <c r="G19" s="299"/>
      <c r="H19" s="142"/>
      <c r="I19" s="332"/>
      <c r="J19" s="634"/>
      <c r="M19" s="55"/>
      <c r="P19" s="17">
        <f>IF($Q$19=$R$19,0,1)</f>
        <v>0</v>
      </c>
      <c r="U19" s="19"/>
      <c r="V19" s="19"/>
      <c r="Z19" s="41"/>
      <c r="AA19" s="41">
        <f>SUM(AA16:AA18)</f>
        <v>30</v>
      </c>
      <c r="AB19" s="41"/>
      <c r="AC19" s="289" t="str">
        <f>IF($AA$19&lt;30," ",IF($AC$16&lt;50," ","ERROR - Must Be Officer"))</f>
        <v>ERROR - Must Be Officer</v>
      </c>
      <c r="AD19" s="288"/>
      <c r="AE19" s="41"/>
      <c r="AG19" s="18">
        <v>10</v>
      </c>
      <c r="AH19" s="19" t="s">
        <v>683</v>
      </c>
      <c r="AI19" s="18">
        <v>30</v>
      </c>
      <c r="AJ19" s="18">
        <v>10</v>
      </c>
      <c r="AS19" s="17" t="str">
        <f>IF(I19&lt;&gt;"",2,IF(J19&lt;&gt;"",3,"Choose Member/Chair"))</f>
        <v>Choose Member/Chair</v>
      </c>
      <c r="AT19" s="17" t="str">
        <f>IF(AS19&lt;&gt;"Choose Member/Chair",VLOOKUP(B19,BE:BH,AS19,0),"Missing X")</f>
        <v>Missing X</v>
      </c>
      <c r="AU19" s="17" t="str">
        <f>IF(ISNA(AT19),5,AT19)</f>
        <v>Missing X</v>
      </c>
      <c r="AV19" s="17" t="s">
        <v>999</v>
      </c>
      <c r="AW19" s="298" t="s">
        <v>1000</v>
      </c>
      <c r="AX19" s="298">
        <v>0</v>
      </c>
      <c r="AY19" s="298">
        <v>10</v>
      </c>
      <c r="AZ19" s="298">
        <v>20</v>
      </c>
      <c r="BA19" s="298"/>
      <c r="BB19" s="298"/>
      <c r="BE19" s="314" t="s">
        <v>1222</v>
      </c>
      <c r="BF19" s="298">
        <v>8</v>
      </c>
      <c r="BG19" s="298">
        <v>10</v>
      </c>
      <c r="BH19" s="298"/>
    </row>
    <row r="20" spans="1:60" ht="18" customHeight="1">
      <c r="A20" s="316"/>
      <c r="B20" s="981"/>
      <c r="C20" s="979"/>
      <c r="D20" s="979"/>
      <c r="E20" s="979"/>
      <c r="F20" s="980"/>
      <c r="G20" s="299"/>
      <c r="H20" s="142"/>
      <c r="I20" s="158"/>
      <c r="J20" s="634"/>
      <c r="K20" s="17">
        <f>5-COUNTBLANK($A$19:$A$23)</f>
        <v>0</v>
      </c>
      <c r="L20" s="17" t="s">
        <v>803</v>
      </c>
      <c r="P20" s="17">
        <f>IF($Q$20=$R$20,0,1)</f>
        <v>0</v>
      </c>
      <c r="U20" s="19" t="s">
        <v>589</v>
      </c>
      <c r="V20" s="19"/>
      <c r="Z20" s="41"/>
      <c r="AA20" s="41"/>
      <c r="AB20" s="41"/>
      <c r="AC20" s="289" t="str">
        <f>IF($AA$19&lt;30," ",IF($AC$16&lt;50," ","or POA Committee Chair"))</f>
        <v>or POA Committee Chair</v>
      </c>
      <c r="AD20" s="288"/>
      <c r="AE20" s="41"/>
      <c r="AG20" s="18">
        <v>11</v>
      </c>
      <c r="AH20" s="19" t="s">
        <v>692</v>
      </c>
      <c r="AI20" s="18">
        <v>30</v>
      </c>
      <c r="AJ20" s="18">
        <v>11</v>
      </c>
      <c r="AS20" s="17" t="str">
        <f>IF(I20&lt;&gt;"",2,IF(J20&lt;&gt;"",3,"Choose Member/Chair"))</f>
        <v>Choose Member/Chair</v>
      </c>
      <c r="AT20" s="17" t="str">
        <f>IF(AS20&lt;&gt;"Choose Member/Chair",VLOOKUP(B20,BE:BH,AS20,0),"Missing X")</f>
        <v>Missing X</v>
      </c>
      <c r="AU20" s="17" t="str">
        <f>IF(ISNA(AT20),5,AT20)</f>
        <v>Missing X</v>
      </c>
      <c r="AV20" s="17" t="s">
        <v>1001</v>
      </c>
      <c r="AW20" s="298" t="s">
        <v>1034</v>
      </c>
      <c r="AX20" s="298">
        <v>0</v>
      </c>
      <c r="AY20" s="298">
        <v>10</v>
      </c>
      <c r="AZ20" s="298">
        <v>20</v>
      </c>
      <c r="BA20" s="298">
        <v>25</v>
      </c>
      <c r="BB20" s="298"/>
      <c r="BE20" s="314" t="s">
        <v>1223</v>
      </c>
      <c r="BF20" s="298">
        <v>8</v>
      </c>
      <c r="BG20" s="298">
        <v>10</v>
      </c>
      <c r="BH20" s="298"/>
    </row>
    <row r="21" spans="1:60" ht="18" customHeight="1">
      <c r="A21" s="316"/>
      <c r="B21" s="981"/>
      <c r="C21" s="979"/>
      <c r="D21" s="979"/>
      <c r="E21" s="979"/>
      <c r="F21" s="980"/>
      <c r="G21" s="299"/>
      <c r="H21" s="142"/>
      <c r="I21" s="158"/>
      <c r="J21" s="634"/>
      <c r="K21" s="17">
        <f>5-COUNTBLANK($B$19:$B$23)</f>
        <v>0</v>
      </c>
      <c r="L21" s="17" t="s">
        <v>589</v>
      </c>
      <c r="M21" s="17">
        <f>IF(COUNTBLANK($A$19)=COUNTBLANK($B$19),0,1)+IF(COUNTBLANK($G$19:$H$19)=COUNTBLANK($I$19:$J$19),0,1)</f>
        <v>0</v>
      </c>
      <c r="N21" s="17">
        <f>COUNTBLANK($A$19)-(2-(COUNTBLANK($G$19:$H$19)+COUNTBLANK($I$19:$J$19)))</f>
        <v>3</v>
      </c>
      <c r="P21" s="17">
        <f>IF($Q$21=$R$21,0,1)</f>
        <v>0</v>
      </c>
      <c r="U21" s="22" t="str">
        <f>IF(COUNTBLANK($B$28:$B$33)&lt;6,IF($G$26=0,"Points Missing",$U$20),$U$20)</f>
        <v> </v>
      </c>
      <c r="V21" s="23"/>
      <c r="Z21" s="41"/>
      <c r="AA21" s="41"/>
      <c r="AB21" s="41"/>
      <c r="AC21" s="41"/>
      <c r="AD21" s="288"/>
      <c r="AE21" s="41"/>
      <c r="AG21" s="18">
        <v>12</v>
      </c>
      <c r="AH21" s="19" t="s">
        <v>686</v>
      </c>
      <c r="AI21" s="18">
        <v>30</v>
      </c>
      <c r="AJ21" s="18">
        <v>12</v>
      </c>
      <c r="AS21" s="17" t="str">
        <f>IF(I21&lt;&gt;"",2,IF(J21&lt;&gt;"",3,"Choose Member/Chair"))</f>
        <v>Choose Member/Chair</v>
      </c>
      <c r="AT21" s="17" t="str">
        <f>IF(AS21&lt;&gt;"Choose Member/Chair",VLOOKUP(B21,BE:BH,AS21,0),"Missing X")</f>
        <v>Missing X</v>
      </c>
      <c r="AU21" s="17" t="str">
        <f>IF(ISNA(AT21),5,AT21)</f>
        <v>Missing X</v>
      </c>
      <c r="AV21" s="17" t="s">
        <v>1003</v>
      </c>
      <c r="AW21" s="298" t="s">
        <v>1002</v>
      </c>
      <c r="AX21" s="298">
        <v>0</v>
      </c>
      <c r="AY21" s="298">
        <v>10</v>
      </c>
      <c r="AZ21" s="298">
        <v>20</v>
      </c>
      <c r="BA21" s="298">
        <v>25</v>
      </c>
      <c r="BB21" s="298"/>
      <c r="BE21" s="314" t="s">
        <v>1221</v>
      </c>
      <c r="BF21" s="298">
        <v>8</v>
      </c>
      <c r="BG21" s="298">
        <v>10</v>
      </c>
      <c r="BH21" s="298"/>
    </row>
    <row r="22" spans="1:60" ht="18" customHeight="1">
      <c r="A22" s="316"/>
      <c r="B22" s="981"/>
      <c r="C22" s="979"/>
      <c r="D22" s="979"/>
      <c r="E22" s="979"/>
      <c r="F22" s="980"/>
      <c r="G22" s="299"/>
      <c r="H22" s="142"/>
      <c r="I22" s="158"/>
      <c r="J22" s="634"/>
      <c r="K22" s="17">
        <f>10-COUNTBLANK($G$19:$H$23)</f>
        <v>0</v>
      </c>
      <c r="M22" s="17">
        <f>IF(COUNTBLANK($A$20)=COUNTBLANK($B$20),0,1)+IF(COUNTBLANK($G$20:$H$20)=COUNTBLANK($I$20:$J$20),0,1)</f>
        <v>0</v>
      </c>
      <c r="N22" s="17">
        <f>COUNTBLANK($A$20)-(2-(COUNTBLANK($G$20:$H$20)+COUNTBLANK($I$20:$J$20)))</f>
        <v>3</v>
      </c>
      <c r="P22" s="17">
        <f>IF($Q$22=$R$22,0,1)</f>
        <v>0</v>
      </c>
      <c r="Z22" s="41"/>
      <c r="AA22" s="41"/>
      <c r="AB22" s="41"/>
      <c r="AC22" s="41"/>
      <c r="AD22" s="41">
        <f>SUM($AD$16:$AD$21)</f>
        <v>0</v>
      </c>
      <c r="AE22" s="41">
        <f>SUM($AE$16:$AE$21)</f>
        <v>0</v>
      </c>
      <c r="AG22" s="18">
        <v>13</v>
      </c>
      <c r="AH22" s="19" t="s">
        <v>678</v>
      </c>
      <c r="AI22" s="18">
        <v>30</v>
      </c>
      <c r="AJ22" s="18">
        <v>13</v>
      </c>
      <c r="AS22" s="17" t="str">
        <f>IF(I22&lt;&gt;"",2,IF(J22&lt;&gt;"",3,"Choose Member/Chair"))</f>
        <v>Choose Member/Chair</v>
      </c>
      <c r="AT22" s="17" t="str">
        <f>IF(AS22&lt;&gt;"Choose Member/Chair",VLOOKUP(B22,BE:BH,AS22,0),"Missing X")</f>
        <v>Missing X</v>
      </c>
      <c r="AU22" s="17" t="str">
        <f>IF(ISNA(AT22),5,AT22)</f>
        <v>Missing X</v>
      </c>
      <c r="AV22" s="17" t="s">
        <v>1005</v>
      </c>
      <c r="AW22" s="298" t="s">
        <v>1004</v>
      </c>
      <c r="AX22" s="298">
        <v>0</v>
      </c>
      <c r="AY22" s="298">
        <v>10</v>
      </c>
      <c r="AZ22" s="298">
        <v>20</v>
      </c>
      <c r="BA22" s="298">
        <v>25</v>
      </c>
      <c r="BB22" s="298"/>
      <c r="BE22" s="314" t="s">
        <v>1457</v>
      </c>
      <c r="BF22" s="298">
        <v>8</v>
      </c>
      <c r="BG22" s="298">
        <v>10</v>
      </c>
      <c r="BH22" s="298"/>
    </row>
    <row r="23" spans="1:60" ht="18" customHeight="1">
      <c r="A23" s="316"/>
      <c r="B23" s="981"/>
      <c r="C23" s="979"/>
      <c r="D23" s="979"/>
      <c r="E23" s="979"/>
      <c r="F23" s="980"/>
      <c r="G23" s="299"/>
      <c r="H23" s="142"/>
      <c r="I23" s="158"/>
      <c r="J23" s="634"/>
      <c r="K23" s="17">
        <f>10-COUNTBLANK($I$19:$J$23)</f>
        <v>0</v>
      </c>
      <c r="M23" s="17">
        <f>IF(COUNTBLANK($A$21)=COUNTBLANK($B$21),0,1)+IF(COUNTBLANK($G$21:$H$21)=COUNTBLANK($I$21:$J$21),0,1)</f>
        <v>0</v>
      </c>
      <c r="N23" s="17">
        <f>COUNTBLANK($A$21)-(2-(COUNTBLANK($G$21:$H$21)+COUNTBLANK($I$21:$J$21)))</f>
        <v>3</v>
      </c>
      <c r="P23" s="17">
        <f>IF($Q$23=$R$23,0,1)</f>
        <v>0</v>
      </c>
      <c r="AD23" s="20">
        <f>IF($AD$22=$AE$22,$AD$22,$Z$25)</f>
        <v>0</v>
      </c>
      <c r="AG23" s="18">
        <v>14</v>
      </c>
      <c r="AH23" s="19" t="s">
        <v>698</v>
      </c>
      <c r="AI23" s="18">
        <v>15</v>
      </c>
      <c r="AJ23" s="18">
        <v>14</v>
      </c>
      <c r="AS23" s="17" t="str">
        <f>IF(I23&lt;&gt;"",2,IF(J23&lt;&gt;"",3,"Choose Member/Chair"))</f>
        <v>Choose Member/Chair</v>
      </c>
      <c r="AT23" s="17" t="str">
        <f>IF(AS23&lt;&gt;"Choose Member/Chair",VLOOKUP(B23,BE:BH,AS23,0),"Missing X")</f>
        <v>Missing X</v>
      </c>
      <c r="AU23" s="17" t="str">
        <f>IF(ISNA(AT23),5,AT23)</f>
        <v>Missing X</v>
      </c>
      <c r="AV23" s="17" t="s">
        <v>1007</v>
      </c>
      <c r="AW23" s="314" t="s">
        <v>1245</v>
      </c>
      <c r="AX23" s="298"/>
      <c r="AY23" s="298">
        <v>10</v>
      </c>
      <c r="AZ23" s="298">
        <v>20</v>
      </c>
      <c r="BA23" s="298">
        <v>25</v>
      </c>
      <c r="BB23" s="298"/>
      <c r="BE23" s="314" t="s">
        <v>1226</v>
      </c>
      <c r="BF23" s="298">
        <v>8</v>
      </c>
      <c r="BG23" s="298">
        <v>10</v>
      </c>
      <c r="BH23" s="298"/>
    </row>
    <row r="24" spans="1:60" ht="18" customHeight="1">
      <c r="A24" s="165" t="str">
        <f>$AD$29</f>
        <v> </v>
      </c>
      <c r="B24" s="30"/>
      <c r="C24" s="82"/>
      <c r="D24" s="89"/>
      <c r="E24" s="82"/>
      <c r="F24" s="82"/>
      <c r="G24" s="82"/>
      <c r="H24" s="82"/>
      <c r="I24" s="82"/>
      <c r="J24" s="166" t="str">
        <f>$U$21</f>
        <v> </v>
      </c>
      <c r="M24" s="17">
        <f>IF(COUNTBLANK($A$22)=COUNTBLANK($B$22),0,1)+IF(COUNTBLANK($G$22:$H$22)=COUNTBLANK($I$22:$J$22),0,1)</f>
        <v>0</v>
      </c>
      <c r="N24" s="17">
        <f>COUNTBLANK($A$22)-(2-(COUNTBLANK($G$22:$H$22)+COUNTBLANK($I$22:$J$22)))</f>
        <v>3</v>
      </c>
      <c r="P24" s="17">
        <f>IF($Q$24=$R$24,0,1)</f>
        <v>0</v>
      </c>
      <c r="T24" s="17">
        <f>3-(IF($S$13&lt;2,0,1)+IF($S$14&lt;2,0,1)+IF($S$15&lt;2,0,1))</f>
        <v>3</v>
      </c>
      <c r="AD24" s="20">
        <f>IF($AD$23&lt;75,$AD$23,IF($AD$23="ERR","ERR",75))</f>
        <v>0</v>
      </c>
      <c r="AG24" s="18">
        <v>15</v>
      </c>
      <c r="AH24" s="19" t="s">
        <v>701</v>
      </c>
      <c r="AI24" s="18">
        <v>15</v>
      </c>
      <c r="AJ24" s="18">
        <v>15</v>
      </c>
      <c r="AN24" s="17" t="s">
        <v>589</v>
      </c>
      <c r="AV24" s="17" t="s">
        <v>1009</v>
      </c>
      <c r="AW24" s="298" t="s">
        <v>1006</v>
      </c>
      <c r="AX24" s="298">
        <v>0</v>
      </c>
      <c r="AY24" s="298">
        <v>10</v>
      </c>
      <c r="AZ24" s="298">
        <v>20</v>
      </c>
      <c r="BA24" s="298">
        <v>25</v>
      </c>
      <c r="BB24" s="298"/>
      <c r="BE24" s="314" t="s">
        <v>1227</v>
      </c>
      <c r="BF24" s="298">
        <v>8</v>
      </c>
      <c r="BG24" s="298">
        <v>10</v>
      </c>
      <c r="BH24" s="298"/>
    </row>
    <row r="25" spans="1:60" ht="24.75" customHeight="1">
      <c r="A25" s="995" t="s">
        <v>1165</v>
      </c>
      <c r="B25" s="996"/>
      <c r="C25" s="996"/>
      <c r="D25" s="996"/>
      <c r="E25" s="997"/>
      <c r="F25" s="153" t="s">
        <v>794</v>
      </c>
      <c r="G25" s="154" t="s">
        <v>625</v>
      </c>
      <c r="H25" s="155" t="s">
        <v>796</v>
      </c>
      <c r="I25" s="968" t="s">
        <v>795</v>
      </c>
      <c r="J25" s="969"/>
      <c r="K25" s="17" t="str">
        <f>IF($M$25=0,IF($K$20=$K$21,IF($K$21=$K$22,IF($K$22=$K$23,$L$21,$L$20),$L$20),$L$20),$L$20)</f>
        <v> </v>
      </c>
      <c r="M25" s="17">
        <f>SUM($M$21:$M$24)</f>
        <v>0</v>
      </c>
      <c r="N25" s="17">
        <f>COUNTBLANK($A$23)-(2-(COUNTBLANK($G$23:$H$23)+COUNTBLANK($I$23:$J$23)))</f>
        <v>3</v>
      </c>
      <c r="Z25" s="20" t="s">
        <v>700</v>
      </c>
      <c r="AD25" s="17">
        <f>IF($AE$23="ERR","ERR",$AD$23)</f>
        <v>0</v>
      </c>
      <c r="AG25" s="18">
        <v>16</v>
      </c>
      <c r="AH25" s="19" t="s">
        <v>712</v>
      </c>
      <c r="AI25" s="18">
        <v>15</v>
      </c>
      <c r="AJ25" s="18">
        <v>16</v>
      </c>
      <c r="AN25" s="17" t="str">
        <f>IF($G$26&gt;0,IF($F$26&gt;0,$AN$27,$AN$26),$AN$26)</f>
        <v>    (You Must Figure &amp; put Points in Caps Off Box!)</v>
      </c>
      <c r="AV25" s="17" t="s">
        <v>1011</v>
      </c>
      <c r="AW25" s="298" t="s">
        <v>987</v>
      </c>
      <c r="AX25" s="298">
        <v>0</v>
      </c>
      <c r="AY25" s="298">
        <v>10</v>
      </c>
      <c r="AZ25" s="298">
        <v>20</v>
      </c>
      <c r="BA25" s="298"/>
      <c r="BB25" s="298"/>
      <c r="BE25" s="314" t="s">
        <v>1230</v>
      </c>
      <c r="BF25" s="298">
        <v>8</v>
      </c>
      <c r="BG25" s="298">
        <v>10</v>
      </c>
      <c r="BH25" s="298"/>
    </row>
    <row r="26" spans="1:60" ht="24.75" customHeight="1">
      <c r="A26" s="168"/>
      <c r="B26" s="741" t="s">
        <v>1436</v>
      </c>
      <c r="C26" s="96"/>
      <c r="D26" s="96"/>
      <c r="E26" s="96"/>
      <c r="F26" s="636">
        <f>SUM(AT28:AT33)</f>
        <v>0</v>
      </c>
      <c r="G26" s="125">
        <f>IF($F$26&lt;=75,$F$26,75)</f>
        <v>0</v>
      </c>
      <c r="H26" s="125"/>
      <c r="I26" s="117"/>
      <c r="J26" s="118" t="s">
        <v>605</v>
      </c>
      <c r="M26" s="17" t="s">
        <v>589</v>
      </c>
      <c r="X26" s="17">
        <f>SUM($S$26:$W$26)</f>
        <v>0</v>
      </c>
      <c r="Z26" s="17">
        <f>IF($X$26=$Y$26,+$Y$26,+$Z$25)</f>
        <v>0</v>
      </c>
      <c r="AC26" s="17" t="s">
        <v>589</v>
      </c>
      <c r="AD26" s="17" t="s">
        <v>589</v>
      </c>
      <c r="AG26" s="18">
        <v>17</v>
      </c>
      <c r="AH26" s="19" t="s">
        <v>713</v>
      </c>
      <c r="AI26" s="18">
        <v>15</v>
      </c>
      <c r="AJ26" s="18">
        <v>17</v>
      </c>
      <c r="AN26" s="59" t="s">
        <v>797</v>
      </c>
      <c r="AV26" s="17" t="s">
        <v>1013</v>
      </c>
      <c r="AW26" s="298" t="s">
        <v>1008</v>
      </c>
      <c r="AX26" s="298">
        <v>0</v>
      </c>
      <c r="AY26" s="298">
        <v>10</v>
      </c>
      <c r="AZ26" s="298">
        <v>20</v>
      </c>
      <c r="BA26" s="298">
        <v>25</v>
      </c>
      <c r="BB26" s="298"/>
      <c r="BE26" s="314" t="s">
        <v>1225</v>
      </c>
      <c r="BF26" s="298">
        <v>8</v>
      </c>
      <c r="BG26" s="298">
        <v>10</v>
      </c>
      <c r="BH26" s="298"/>
    </row>
    <row r="27" spans="1:60" ht="24.75" customHeight="1">
      <c r="A27" s="149" t="s">
        <v>642</v>
      </c>
      <c r="B27" s="159" t="s">
        <v>704</v>
      </c>
      <c r="C27" s="84"/>
      <c r="D27" s="97"/>
      <c r="E27" s="97"/>
      <c r="F27" s="98"/>
      <c r="G27" s="143" t="s">
        <v>627</v>
      </c>
      <c r="H27" s="143" t="s">
        <v>675</v>
      </c>
      <c r="I27" s="143" t="s">
        <v>631</v>
      </c>
      <c r="J27" s="144" t="s">
        <v>676</v>
      </c>
      <c r="M27" s="90"/>
      <c r="X27" s="17">
        <f>SUM($S$27:$W$27)</f>
        <v>0</v>
      </c>
      <c r="Z27" s="17">
        <f>IF($X$27=$Y$27,+$Y$27,+$Z$25)</f>
        <v>0</v>
      </c>
      <c r="AC27" s="17" t="s">
        <v>801</v>
      </c>
      <c r="AG27" s="18">
        <v>18</v>
      </c>
      <c r="AH27" s="19" t="s">
        <v>711</v>
      </c>
      <c r="AI27" s="18">
        <v>15</v>
      </c>
      <c r="AJ27" s="18">
        <v>18</v>
      </c>
      <c r="AN27" s="17" t="s">
        <v>589</v>
      </c>
      <c r="AV27" s="17" t="s">
        <v>1015</v>
      </c>
      <c r="AW27" s="298" t="s">
        <v>1010</v>
      </c>
      <c r="AX27" s="298">
        <v>0</v>
      </c>
      <c r="AY27" s="298">
        <v>10</v>
      </c>
      <c r="AZ27" s="298">
        <v>20</v>
      </c>
      <c r="BA27" s="298">
        <v>25</v>
      </c>
      <c r="BB27" s="298"/>
      <c r="BE27" s="314" t="s">
        <v>1224</v>
      </c>
      <c r="BF27" s="298">
        <v>8</v>
      </c>
      <c r="BG27" s="298">
        <v>10</v>
      </c>
      <c r="BH27" s="298"/>
    </row>
    <row r="28" spans="1:60" ht="18" customHeight="1">
      <c r="A28" s="316"/>
      <c r="B28" s="981"/>
      <c r="C28" s="979"/>
      <c r="D28" s="979"/>
      <c r="E28" s="979"/>
      <c r="F28" s="980"/>
      <c r="G28" s="299"/>
      <c r="H28" s="299"/>
      <c r="I28" s="299"/>
      <c r="J28" s="315"/>
      <c r="X28" s="17">
        <f>SUM($S$28:$W$28)</f>
        <v>0</v>
      </c>
      <c r="Z28" s="17">
        <f>IF($X$28=$Y$28,+$Y$28,+$Z$25)</f>
        <v>0</v>
      </c>
      <c r="AC28" s="17">
        <f>(18+COUNTBLANK($B$28:$B$33))</f>
        <v>24</v>
      </c>
      <c r="AD28" s="17">
        <f>COUNTBLANK($G$28:$G$33)+COUNTBLANK($H$28:$H$33)+COUNTBLANK($I$28:$I$33)+COUNTBLANK($J$28:$J$33)</f>
        <v>24</v>
      </c>
      <c r="AF28" s="17">
        <f>IF($AK$26=$AL$26,0,1)</f>
        <v>0</v>
      </c>
      <c r="AG28" s="18">
        <v>19</v>
      </c>
      <c r="AH28" s="19" t="s">
        <v>697</v>
      </c>
      <c r="AI28" s="18">
        <v>15</v>
      </c>
      <c r="AJ28" s="18">
        <v>19</v>
      </c>
      <c r="AK28" s="17">
        <f>COUNTBLANK($A$28:$A$28)</f>
        <v>1</v>
      </c>
      <c r="AL28" s="17">
        <f>COUNTBLANK($B$28:$B$28)</f>
        <v>1</v>
      </c>
      <c r="AS28" s="17" t="str">
        <f aca="true" t="shared" si="0" ref="AS28:AS33">IF(G28&lt;&gt;"",2,IF(H28&lt;&gt;"",3,IF(I28&lt;&gt;"",4,IF(J28&lt;&gt;"",5,"Select Level"))))</f>
        <v>Select Level</v>
      </c>
      <c r="AT28" s="17">
        <f aca="true" t="shared" si="1" ref="AT28:AT33">IF(AS28&lt;&gt;"Select Level",VLOOKUP(B28,AW$1:BB$65536,AS28,0),0)</f>
        <v>0</v>
      </c>
      <c r="AV28" s="17" t="s">
        <v>1017</v>
      </c>
      <c r="AW28" s="298" t="s">
        <v>1012</v>
      </c>
      <c r="AX28" s="298">
        <v>0</v>
      </c>
      <c r="AY28" s="298">
        <v>10</v>
      </c>
      <c r="AZ28" s="298">
        <v>20</v>
      </c>
      <c r="BA28" s="298">
        <v>25</v>
      </c>
      <c r="BB28" s="298"/>
      <c r="BE28" s="314" t="s">
        <v>1472</v>
      </c>
      <c r="BF28" s="298">
        <v>8</v>
      </c>
      <c r="BG28" s="298">
        <v>10</v>
      </c>
      <c r="BH28" s="298"/>
    </row>
    <row r="29" spans="1:60" ht="18" customHeight="1">
      <c r="A29" s="316"/>
      <c r="B29" s="981"/>
      <c r="C29" s="979"/>
      <c r="D29" s="979"/>
      <c r="E29" s="979"/>
      <c r="F29" s="980"/>
      <c r="G29" s="140"/>
      <c r="H29" s="299"/>
      <c r="I29" s="299"/>
      <c r="J29" s="315"/>
      <c r="X29" s="17">
        <f>SUM($S$29:$W$29)</f>
        <v>0</v>
      </c>
      <c r="Z29" s="17">
        <f>IF($X$29=$Y$29,+$Y$29,+$Z$25)</f>
        <v>0</v>
      </c>
      <c r="AC29" s="17">
        <f>18+COUNTBLANK($A$28:$A$33)</f>
        <v>24</v>
      </c>
      <c r="AD29" s="17" t="str">
        <f>IF($AF$34=0,IF($AC$29=$AC$28,IF($AC$29=$AD$28,$AC$26,$AC$27),$AC$27),$AC$27)</f>
        <v> </v>
      </c>
      <c r="AF29" s="17">
        <f>IF($AK$27=$AL$27,0,1)</f>
        <v>0</v>
      </c>
      <c r="AG29" s="18">
        <v>20</v>
      </c>
      <c r="AH29" s="19" t="s">
        <v>708</v>
      </c>
      <c r="AI29" s="18">
        <v>15</v>
      </c>
      <c r="AJ29" s="18">
        <v>20</v>
      </c>
      <c r="AK29" s="17">
        <f>COUNTBLANK($A$29:$A$29)</f>
        <v>1</v>
      </c>
      <c r="AL29" s="17">
        <f>COUNTBLANK($B$29:$B$29)</f>
        <v>1</v>
      </c>
      <c r="AS29" s="17" t="str">
        <f t="shared" si="0"/>
        <v>Select Level</v>
      </c>
      <c r="AT29" s="17">
        <f t="shared" si="1"/>
        <v>0</v>
      </c>
      <c r="AV29" s="17" t="s">
        <v>1018</v>
      </c>
      <c r="AW29" s="298" t="s">
        <v>1014</v>
      </c>
      <c r="AX29" s="298">
        <v>0</v>
      </c>
      <c r="AY29" s="298">
        <v>10</v>
      </c>
      <c r="AZ29" s="298">
        <v>20</v>
      </c>
      <c r="BA29" s="298">
        <v>25</v>
      </c>
      <c r="BB29" s="298"/>
      <c r="BE29" s="314" t="s">
        <v>1231</v>
      </c>
      <c r="BF29" s="298">
        <v>8</v>
      </c>
      <c r="BG29" s="298">
        <v>10</v>
      </c>
      <c r="BH29" s="298"/>
    </row>
    <row r="30" spans="1:60" ht="18" customHeight="1">
      <c r="A30" s="316"/>
      <c r="B30" s="981"/>
      <c r="C30" s="979"/>
      <c r="D30" s="979"/>
      <c r="E30" s="979"/>
      <c r="F30" s="980"/>
      <c r="G30" s="140"/>
      <c r="H30" s="140"/>
      <c r="I30" s="140"/>
      <c r="J30" s="315"/>
      <c r="M30" s="17" t="s">
        <v>589</v>
      </c>
      <c r="X30" s="17">
        <f>SUM($S$30:$W$30)</f>
        <v>0</v>
      </c>
      <c r="Z30" s="17">
        <f>IF($X$30=$Y$30,+$Y$30,+$Z$25)</f>
        <v>0</v>
      </c>
      <c r="AF30" s="17">
        <f>IF($AK$28=$AL$28,0,1)</f>
        <v>0</v>
      </c>
      <c r="AG30" s="18">
        <v>21</v>
      </c>
      <c r="AH30" s="19" t="s">
        <v>706</v>
      </c>
      <c r="AI30" s="18">
        <v>15</v>
      </c>
      <c r="AJ30" s="18">
        <v>21</v>
      </c>
      <c r="AK30" s="17">
        <f>COUNTBLANK($A$30:$A$30)</f>
        <v>1</v>
      </c>
      <c r="AL30" s="17">
        <f>COUNTBLANK($B$30:$B$30)</f>
        <v>1</v>
      </c>
      <c r="AS30" s="17" t="str">
        <f t="shared" si="0"/>
        <v>Select Level</v>
      </c>
      <c r="AT30" s="17">
        <f t="shared" si="1"/>
        <v>0</v>
      </c>
      <c r="AV30" s="17" t="s">
        <v>989</v>
      </c>
      <c r="AW30" s="298" t="s">
        <v>1016</v>
      </c>
      <c r="AX30" s="298">
        <v>0</v>
      </c>
      <c r="AY30" s="298">
        <v>10</v>
      </c>
      <c r="AZ30" s="298">
        <v>20</v>
      </c>
      <c r="BA30" s="298">
        <v>25</v>
      </c>
      <c r="BB30" s="298"/>
      <c r="BE30" s="314" t="s">
        <v>1228</v>
      </c>
      <c r="BF30" s="298">
        <v>8</v>
      </c>
      <c r="BG30" s="298">
        <v>10</v>
      </c>
      <c r="BH30" s="298"/>
    </row>
    <row r="31" spans="1:60" ht="18" customHeight="1">
      <c r="A31" s="316"/>
      <c r="B31" s="981"/>
      <c r="C31" s="979"/>
      <c r="D31" s="979"/>
      <c r="E31" s="979"/>
      <c r="F31" s="980"/>
      <c r="G31" s="140"/>
      <c r="H31" s="140"/>
      <c r="I31" s="299"/>
      <c r="J31" s="141"/>
      <c r="M31" s="90"/>
      <c r="X31" s="17">
        <f>SUM($S$31:$W$31)</f>
        <v>0</v>
      </c>
      <c r="Z31" s="17">
        <f>IF($X$31=$Y$31,+$Y$31,+$Z$25)</f>
        <v>0</v>
      </c>
      <c r="AF31" s="17">
        <f>IF($AK$29=$AL$29,0,1)</f>
        <v>0</v>
      </c>
      <c r="AG31" s="18">
        <v>22</v>
      </c>
      <c r="AH31" s="19" t="s">
        <v>710</v>
      </c>
      <c r="AI31" s="18">
        <v>15</v>
      </c>
      <c r="AJ31" s="18">
        <v>22</v>
      </c>
      <c r="AK31" s="17">
        <f>COUNTBLANK($A$31:$A$31)</f>
        <v>1</v>
      </c>
      <c r="AL31" s="17">
        <f>COUNTBLANK($B$31:$B$31)</f>
        <v>1</v>
      </c>
      <c r="AS31" s="17" t="str">
        <f t="shared" si="0"/>
        <v>Select Level</v>
      </c>
      <c r="AT31" s="17">
        <f t="shared" si="1"/>
        <v>0</v>
      </c>
      <c r="AV31" s="17" t="s">
        <v>990</v>
      </c>
      <c r="AW31" s="298" t="s">
        <v>988</v>
      </c>
      <c r="AX31" s="298">
        <v>0</v>
      </c>
      <c r="AY31" s="298">
        <v>10</v>
      </c>
      <c r="AZ31" s="298">
        <v>20</v>
      </c>
      <c r="BA31" s="298"/>
      <c r="BB31" s="298"/>
      <c r="BE31" s="314" t="s">
        <v>1229</v>
      </c>
      <c r="BF31" s="298">
        <v>8</v>
      </c>
      <c r="BG31" s="298">
        <v>10</v>
      </c>
      <c r="BH31" s="298"/>
    </row>
    <row r="32" spans="1:60" ht="18" customHeight="1">
      <c r="A32" s="148"/>
      <c r="B32" s="981"/>
      <c r="C32" s="979"/>
      <c r="D32" s="979"/>
      <c r="E32" s="979"/>
      <c r="F32" s="980"/>
      <c r="G32" s="140"/>
      <c r="H32" s="140"/>
      <c r="I32" s="140"/>
      <c r="J32" s="141"/>
      <c r="X32" s="17">
        <f>SUM($S$32:$W$32)</f>
        <v>0</v>
      </c>
      <c r="Z32" s="17">
        <f>IF($X$32=$Y$32,+$Y$32,+$Z$25)</f>
        <v>0</v>
      </c>
      <c r="AF32" s="17">
        <f>IF($AK$30=$AL$30,0,1)</f>
        <v>0</v>
      </c>
      <c r="AG32" s="18">
        <v>23</v>
      </c>
      <c r="AH32" s="19" t="s">
        <v>707</v>
      </c>
      <c r="AI32" s="18">
        <v>15</v>
      </c>
      <c r="AJ32" s="18">
        <v>23</v>
      </c>
      <c r="AK32" s="17">
        <f>COUNTBLANK($A$32:$A$32)</f>
        <v>1</v>
      </c>
      <c r="AL32" s="17">
        <f>COUNTBLANK($B$32:$B$32)</f>
        <v>1</v>
      </c>
      <c r="AS32" s="17" t="str">
        <f t="shared" si="0"/>
        <v>Select Level</v>
      </c>
      <c r="AT32" s="17">
        <f t="shared" si="1"/>
        <v>0</v>
      </c>
      <c r="AV32" s="17" t="s">
        <v>992</v>
      </c>
      <c r="AW32" s="314" t="s">
        <v>1363</v>
      </c>
      <c r="AX32" s="298"/>
      <c r="AY32" s="298"/>
      <c r="AZ32" s="298">
        <v>20</v>
      </c>
      <c r="BA32" s="298">
        <v>25</v>
      </c>
      <c r="BB32" s="298"/>
      <c r="BE32" s="298" t="s">
        <v>1038</v>
      </c>
      <c r="BF32" s="298">
        <v>8</v>
      </c>
      <c r="BG32" s="298">
        <v>10</v>
      </c>
      <c r="BH32" s="298"/>
    </row>
    <row r="33" spans="1:60" ht="18" customHeight="1">
      <c r="A33" s="148"/>
      <c r="B33" s="981"/>
      <c r="C33" s="979"/>
      <c r="D33" s="979"/>
      <c r="E33" s="979"/>
      <c r="F33" s="980"/>
      <c r="G33" s="140"/>
      <c r="H33" s="140"/>
      <c r="I33" s="140"/>
      <c r="J33" s="141"/>
      <c r="X33" s="17">
        <f>SUM($S$33:$W$33)</f>
        <v>0</v>
      </c>
      <c r="Z33" s="17">
        <f>IF($X$33=$Y$33,+$Y$33,+$Z$25)</f>
        <v>0</v>
      </c>
      <c r="AF33" s="17">
        <f>IF($AK$31=$AL$31,0,1)</f>
        <v>0</v>
      </c>
      <c r="AG33" s="18">
        <v>24</v>
      </c>
      <c r="AH33" s="19" t="s">
        <v>702</v>
      </c>
      <c r="AI33" s="18">
        <v>15</v>
      </c>
      <c r="AJ33" s="18">
        <v>24</v>
      </c>
      <c r="AK33" s="17">
        <f>COUNTBLANK($A$33:$A$33)</f>
        <v>1</v>
      </c>
      <c r="AL33" s="17">
        <f>COUNTBLANK($B$33:$B$33)</f>
        <v>1</v>
      </c>
      <c r="AS33" s="17" t="str">
        <f t="shared" si="0"/>
        <v>Select Level</v>
      </c>
      <c r="AT33" s="17">
        <f t="shared" si="1"/>
        <v>0</v>
      </c>
      <c r="AV33" s="17" t="s">
        <v>994</v>
      </c>
      <c r="AW33" s="298" t="s">
        <v>1023</v>
      </c>
      <c r="AX33" s="298">
        <v>5</v>
      </c>
      <c r="AY33" s="298">
        <v>15</v>
      </c>
      <c r="AZ33" s="298">
        <v>20</v>
      </c>
      <c r="BA33" s="298">
        <v>25</v>
      </c>
      <c r="BB33" s="298"/>
      <c r="BF33" s="298"/>
      <c r="BG33" s="298"/>
      <c r="BH33" s="298"/>
    </row>
    <row r="34" spans="1:60" ht="18" customHeight="1">
      <c r="A34" s="165" t="str">
        <f>$M$37</f>
        <v> </v>
      </c>
      <c r="B34" s="30"/>
      <c r="C34" s="82"/>
      <c r="D34" s="89"/>
      <c r="E34" s="82"/>
      <c r="F34" s="82"/>
      <c r="G34" s="82"/>
      <c r="H34" s="82"/>
      <c r="I34" s="82"/>
      <c r="J34" s="169"/>
      <c r="M34" s="17" t="s">
        <v>700</v>
      </c>
      <c r="X34" s="17">
        <f>SUM($S$34:$W$34)</f>
        <v>0</v>
      </c>
      <c r="Z34" s="17">
        <f>IF($X$34=$Y$34,+$Y$34,+$Z$25)</f>
        <v>0</v>
      </c>
      <c r="AF34" s="17">
        <f>SUM($AF$28:$AF$33)</f>
        <v>0</v>
      </c>
      <c r="AG34" s="18">
        <v>25</v>
      </c>
      <c r="AJ34" s="18">
        <v>25</v>
      </c>
      <c r="AV34" s="17" t="s">
        <v>995</v>
      </c>
      <c r="AW34" s="298" t="s">
        <v>1033</v>
      </c>
      <c r="AX34" s="298">
        <v>5</v>
      </c>
      <c r="AY34" s="298">
        <v>15</v>
      </c>
      <c r="AZ34" s="298">
        <v>20</v>
      </c>
      <c r="BA34" s="298">
        <v>25</v>
      </c>
      <c r="BB34" s="298"/>
      <c r="BF34" s="298"/>
      <c r="BG34" s="298"/>
      <c r="BH34" s="298"/>
    </row>
    <row r="35" spans="1:60" ht="24.75" customHeight="1">
      <c r="A35" s="998" t="s">
        <v>767</v>
      </c>
      <c r="B35" s="999"/>
      <c r="C35" s="999"/>
      <c r="D35" s="999"/>
      <c r="E35" s="1000"/>
      <c r="F35" s="153" t="s">
        <v>794</v>
      </c>
      <c r="G35" s="154" t="s">
        <v>625</v>
      </c>
      <c r="H35" s="155" t="s">
        <v>796</v>
      </c>
      <c r="I35" s="968" t="s">
        <v>795</v>
      </c>
      <c r="J35" s="969"/>
      <c r="M35" s="17" t="s">
        <v>589</v>
      </c>
      <c r="X35" s="17">
        <f>SUM($S$35:$W$35)</f>
        <v>0</v>
      </c>
      <c r="Z35" s="17">
        <f>IF($X$35=$Y$35,+$Y$35,+$Z$25)</f>
        <v>0</v>
      </c>
      <c r="AV35" s="17" t="s">
        <v>997</v>
      </c>
      <c r="AW35" s="314" t="s">
        <v>1242</v>
      </c>
      <c r="AX35" s="298">
        <v>5</v>
      </c>
      <c r="AY35" s="298">
        <v>15</v>
      </c>
      <c r="AZ35" s="298">
        <v>20</v>
      </c>
      <c r="BA35" s="298">
        <v>25</v>
      </c>
      <c r="BB35" s="298"/>
      <c r="BF35" s="298"/>
      <c r="BG35" s="298"/>
      <c r="BH35" s="298"/>
    </row>
    <row r="36" spans="1:54" ht="24.75" customHeight="1">
      <c r="A36" s="99" t="s">
        <v>659</v>
      </c>
      <c r="B36" s="82"/>
      <c r="C36" s="82"/>
      <c r="D36" s="33"/>
      <c r="E36" s="133" t="s">
        <v>714</v>
      </c>
      <c r="F36" s="172">
        <f>$N$45</f>
        <v>0</v>
      </c>
      <c r="G36" s="172">
        <f>$N$45</f>
        <v>0</v>
      </c>
      <c r="H36" s="126"/>
      <c r="I36" s="121"/>
      <c r="J36" s="122"/>
      <c r="M36" s="17" t="s">
        <v>715</v>
      </c>
      <c r="X36" s="17">
        <f>SUM($S$36:$W$36)</f>
        <v>0</v>
      </c>
      <c r="Z36" s="17">
        <f>IF($X$36=$Y$36,+$Y$36,+$Z$25)</f>
        <v>0</v>
      </c>
      <c r="AV36" s="17" t="s">
        <v>999</v>
      </c>
      <c r="AW36" s="298" t="s">
        <v>1019</v>
      </c>
      <c r="AX36" s="298">
        <v>5</v>
      </c>
      <c r="AY36" s="298">
        <v>15</v>
      </c>
      <c r="AZ36" s="298">
        <v>20</v>
      </c>
      <c r="BA36" s="298">
        <v>25</v>
      </c>
      <c r="BB36" s="298"/>
    </row>
    <row r="37" spans="1:54" ht="24.75" customHeight="1">
      <c r="A37" s="130" t="s">
        <v>642</v>
      </c>
      <c r="B37" s="139" t="s">
        <v>699</v>
      </c>
      <c r="C37" s="100"/>
      <c r="D37" s="101"/>
      <c r="E37" s="102"/>
      <c r="F37" s="103"/>
      <c r="G37" s="104"/>
      <c r="H37" s="104"/>
      <c r="I37" s="104"/>
      <c r="J37" s="105"/>
      <c r="M37" s="17" t="str">
        <f>IF($O$43=0,$M$35,$M$36)</f>
        <v> </v>
      </c>
      <c r="X37" s="17">
        <f>SUM($S$37:$W$37)</f>
        <v>0</v>
      </c>
      <c r="Z37" s="17">
        <f>IF($X$37=$Y$37,+$Y$37,+$Z$25)</f>
        <v>0</v>
      </c>
      <c r="AV37" s="17" t="s">
        <v>1001</v>
      </c>
      <c r="AW37" s="298" t="s">
        <v>1021</v>
      </c>
      <c r="AX37" s="298">
        <v>5</v>
      </c>
      <c r="AY37" s="298">
        <v>15</v>
      </c>
      <c r="AZ37" s="298">
        <v>20</v>
      </c>
      <c r="BA37" s="298">
        <v>25</v>
      </c>
      <c r="BB37" s="298"/>
    </row>
    <row r="38" spans="1:54" ht="18.75" customHeight="1">
      <c r="A38" s="316"/>
      <c r="B38" s="981"/>
      <c r="C38" s="979"/>
      <c r="D38" s="979"/>
      <c r="E38" s="979"/>
      <c r="F38" s="979"/>
      <c r="G38" s="979"/>
      <c r="H38" s="979"/>
      <c r="I38" s="979"/>
      <c r="J38" s="980"/>
      <c r="M38" s="17">
        <f>COUNTBLANK($A$38:$A$38)</f>
        <v>1</v>
      </c>
      <c r="N38" s="17">
        <f>COUNTBLANK($B$38:$B$38)</f>
        <v>1</v>
      </c>
      <c r="O38" s="17">
        <f>IF($M$38=$N$38,0,1)</f>
        <v>0</v>
      </c>
      <c r="X38" s="17">
        <f>SUM($S$38:$W$38)</f>
        <v>0</v>
      </c>
      <c r="Z38" s="17">
        <f>IF($X$38=$Y$38,+$Y$38,+$Z$25)</f>
        <v>0</v>
      </c>
      <c r="AV38" s="17" t="s">
        <v>1003</v>
      </c>
      <c r="AW38" s="298" t="s">
        <v>1022</v>
      </c>
      <c r="AX38" s="298">
        <v>5</v>
      </c>
      <c r="AY38" s="298">
        <v>15</v>
      </c>
      <c r="AZ38" s="298">
        <v>20</v>
      </c>
      <c r="BA38" s="298">
        <v>25</v>
      </c>
      <c r="BB38" s="298"/>
    </row>
    <row r="39" spans="1:54" ht="18.75" customHeight="1">
      <c r="A39" s="148"/>
      <c r="B39" s="978"/>
      <c r="C39" s="979"/>
      <c r="D39" s="979"/>
      <c r="E39" s="979"/>
      <c r="F39" s="979"/>
      <c r="G39" s="979"/>
      <c r="H39" s="979"/>
      <c r="I39" s="979"/>
      <c r="J39" s="980"/>
      <c r="M39" s="17">
        <f>COUNTBLANK($A$39:$A$39)</f>
        <v>1</v>
      </c>
      <c r="N39" s="17">
        <f>COUNTBLANK($B$39:$B$39)</f>
        <v>1</v>
      </c>
      <c r="O39" s="17">
        <f>IF($M$39=$N$39,0,1)</f>
        <v>0</v>
      </c>
      <c r="X39" s="17">
        <f>SUM($S$39:$W$39)</f>
        <v>0</v>
      </c>
      <c r="Z39" s="17">
        <f>IF($X$39=$Y$39,+$Y$39,+$Z$25)</f>
        <v>0</v>
      </c>
      <c r="AV39" s="17" t="s">
        <v>1005</v>
      </c>
      <c r="AW39" s="314" t="s">
        <v>1439</v>
      </c>
      <c r="AX39" s="298">
        <v>5</v>
      </c>
      <c r="AY39" s="298">
        <v>15</v>
      </c>
      <c r="AZ39" s="298">
        <v>20</v>
      </c>
      <c r="BA39" s="298">
        <v>25</v>
      </c>
      <c r="BB39" s="298"/>
    </row>
    <row r="40" spans="1:54" ht="18.75" customHeight="1">
      <c r="A40" s="148"/>
      <c r="B40" s="978"/>
      <c r="C40" s="979"/>
      <c r="D40" s="979"/>
      <c r="E40" s="979"/>
      <c r="F40" s="979"/>
      <c r="G40" s="979"/>
      <c r="H40" s="979"/>
      <c r="I40" s="979"/>
      <c r="J40" s="980"/>
      <c r="M40" s="17">
        <f>COUNTBLANK($A$40:$A$40)</f>
        <v>1</v>
      </c>
      <c r="N40" s="17">
        <f>COUNTBLANK($B$40:$B$40)</f>
        <v>1</v>
      </c>
      <c r="O40" s="17">
        <f>IF($M$40=$N$40,0,1)</f>
        <v>0</v>
      </c>
      <c r="X40" s="17">
        <f>SUM($S$40:$W$40)</f>
        <v>0</v>
      </c>
      <c r="Z40" s="17">
        <f>IF(X40=Y40,+Y40,+$Z$25)</f>
        <v>0</v>
      </c>
      <c r="AV40" s="17" t="s">
        <v>1007</v>
      </c>
      <c r="AW40" s="298" t="s">
        <v>1020</v>
      </c>
      <c r="AX40" s="298">
        <v>5</v>
      </c>
      <c r="AY40" s="298">
        <v>15</v>
      </c>
      <c r="AZ40" s="298">
        <v>20</v>
      </c>
      <c r="BA40" s="298">
        <v>25</v>
      </c>
      <c r="BB40" s="298"/>
    </row>
    <row r="41" spans="1:54" ht="18.75" customHeight="1">
      <c r="A41" s="148"/>
      <c r="B41" s="978"/>
      <c r="C41" s="979"/>
      <c r="D41" s="979"/>
      <c r="E41" s="979"/>
      <c r="F41" s="979"/>
      <c r="G41" s="979"/>
      <c r="H41" s="979"/>
      <c r="I41" s="979"/>
      <c r="J41" s="980"/>
      <c r="M41" s="17">
        <f>COUNTBLANK($A$41:$A$41)</f>
        <v>1</v>
      </c>
      <c r="N41" s="17">
        <f>COUNTBLANK($B$41:$B$41)</f>
        <v>1</v>
      </c>
      <c r="O41" s="17">
        <f>IF($M$41=$N$41,0,1)</f>
        <v>0</v>
      </c>
      <c r="X41" s="17">
        <f>SUM($S$41:$W$41)</f>
        <v>0</v>
      </c>
      <c r="Z41" s="17">
        <f>IF($X$41=$Y$41,+$Y$41,+$Z$25)</f>
        <v>0</v>
      </c>
      <c r="AV41" s="17" t="s">
        <v>1009</v>
      </c>
      <c r="AW41" s="298" t="s">
        <v>1024</v>
      </c>
      <c r="AX41" s="298">
        <v>5</v>
      </c>
      <c r="AY41" s="298">
        <v>15</v>
      </c>
      <c r="AZ41" s="298">
        <v>20</v>
      </c>
      <c r="BA41" s="298"/>
      <c r="BB41" s="298"/>
    </row>
    <row r="42" spans="1:54" ht="18.75" customHeight="1">
      <c r="A42" s="148"/>
      <c r="B42" s="978"/>
      <c r="C42" s="979"/>
      <c r="D42" s="979"/>
      <c r="E42" s="979"/>
      <c r="F42" s="979"/>
      <c r="G42" s="979"/>
      <c r="H42" s="979"/>
      <c r="I42" s="979"/>
      <c r="J42" s="980"/>
      <c r="M42" s="17">
        <f>COUNTBLANK($A$42:$A$42)</f>
        <v>1</v>
      </c>
      <c r="N42" s="17">
        <f>COUNTBLANK($B$42:$B$42)</f>
        <v>1</v>
      </c>
      <c r="O42" s="17">
        <f>IF($M$42=$N$42,0,1)</f>
        <v>0</v>
      </c>
      <c r="X42" s="17">
        <f>SUM($S$42:$W$42)</f>
        <v>0</v>
      </c>
      <c r="Z42" s="17">
        <f>IF($X$42=$Y$42,+$Y$42,+$Z$25)</f>
        <v>0</v>
      </c>
      <c r="AV42" s="17" t="s">
        <v>1011</v>
      </c>
      <c r="AW42" s="298" t="s">
        <v>1025</v>
      </c>
      <c r="AX42" s="298">
        <v>5</v>
      </c>
      <c r="AY42" s="298">
        <v>15</v>
      </c>
      <c r="AZ42" s="298">
        <v>20</v>
      </c>
      <c r="BA42" s="298">
        <v>25</v>
      </c>
      <c r="BB42" s="298"/>
    </row>
    <row r="43" spans="1:54" ht="22.5" customHeight="1">
      <c r="A43" s="171" t="str">
        <f>Cover!$B$56</f>
        <v>MO FFA 2022-2025 Application-October 2022</v>
      </c>
      <c r="B43" s="107"/>
      <c r="C43" s="691" t="s">
        <v>1367</v>
      </c>
      <c r="D43" s="170"/>
      <c r="E43" s="170"/>
      <c r="F43" s="1007"/>
      <c r="G43" s="1007"/>
      <c r="H43" s="109"/>
      <c r="I43" s="974">
        <f>Cover!$M$56</f>
        <v>0</v>
      </c>
      <c r="J43" s="974"/>
      <c r="O43" s="17">
        <f>SUM($O$38:$O$42)</f>
        <v>0</v>
      </c>
      <c r="P43" s="17">
        <f>SUM($P$26:$P$42)</f>
        <v>0</v>
      </c>
      <c r="V43" s="17">
        <f>SUM($V$26:$V$42)</f>
        <v>0</v>
      </c>
      <c r="X43" s="17">
        <f>SUM($X$26:$X$42)</f>
        <v>0</v>
      </c>
      <c r="Y43" s="17">
        <f>SUM($Y$26:$Y$42)</f>
        <v>0</v>
      </c>
      <c r="Z43" s="17">
        <f>SUM($Z$26:$Z$42)</f>
        <v>0</v>
      </c>
      <c r="AV43" s="17" t="s">
        <v>1013</v>
      </c>
      <c r="AW43" s="298" t="s">
        <v>1026</v>
      </c>
      <c r="AX43" s="298">
        <v>5</v>
      </c>
      <c r="AY43" s="298"/>
      <c r="AZ43" s="298"/>
      <c r="BA43" s="298"/>
      <c r="BB43" s="298"/>
    </row>
    <row r="44" spans="1:60" ht="15.75" customHeight="1">
      <c r="A44" s="234"/>
      <c r="B44" s="644">
        <f ca="1">NOW()</f>
        <v>45188.54951967593</v>
      </c>
      <c r="C44" s="82"/>
      <c r="D44" s="89"/>
      <c r="E44" s="82"/>
      <c r="F44" s="110"/>
      <c r="G44" s="110"/>
      <c r="H44" s="110"/>
      <c r="I44" s="110"/>
      <c r="J44" s="110"/>
      <c r="M44" s="17">
        <f>20-((COUNTBLANK($B$38:$B$42)*4))</f>
        <v>0</v>
      </c>
      <c r="AV44" s="17" t="s">
        <v>1015</v>
      </c>
      <c r="AW44" s="298" t="s">
        <v>1027</v>
      </c>
      <c r="AX44" s="298">
        <v>5</v>
      </c>
      <c r="AY44" s="298"/>
      <c r="AZ44" s="298"/>
      <c r="BA44" s="298"/>
      <c r="BB44" s="298"/>
      <c r="BF44" s="17" t="s">
        <v>605</v>
      </c>
      <c r="BG44" s="17" t="s">
        <v>605</v>
      </c>
      <c r="BH44" s="17" t="s">
        <v>605</v>
      </c>
    </row>
    <row r="45" spans="1:54" ht="15.75" customHeight="1" hidden="1">
      <c r="A45" s="19"/>
      <c r="B45" s="19"/>
      <c r="C45" s="19"/>
      <c r="D45" s="111"/>
      <c r="E45" s="19"/>
      <c r="F45" s="19"/>
      <c r="G45" s="19"/>
      <c r="H45" s="19"/>
      <c r="I45" s="19"/>
      <c r="J45" s="19"/>
      <c r="M45" s="17">
        <f>IF($M$36=$M$37,$M$34,$M$44)</f>
        <v>0</v>
      </c>
      <c r="N45" s="17">
        <f>IF($A$34=$M$36,"ERR",$M$45)</f>
        <v>0</v>
      </c>
      <c r="R45" s="17">
        <f>IF($R$43&lt;90,$R$43,90)</f>
        <v>0</v>
      </c>
      <c r="Y45" s="17">
        <f>IF($Y$43=$Z$43,$Z$43,$Z$25)</f>
        <v>0</v>
      </c>
      <c r="Z45" s="17" t="e">
        <f>IF(#REF!=$L$26,"ERR",$Y$45)</f>
        <v>#REF!</v>
      </c>
      <c r="AV45" s="17" t="s">
        <v>1017</v>
      </c>
      <c r="AW45" s="298" t="s">
        <v>1028</v>
      </c>
      <c r="AX45" s="298">
        <v>5</v>
      </c>
      <c r="AY45" s="298"/>
      <c r="AZ45" s="298"/>
      <c r="BA45" s="298"/>
      <c r="BB45" s="298"/>
    </row>
    <row r="46" spans="1:54" ht="15.75" customHeight="1" hidden="1">
      <c r="A46" s="19"/>
      <c r="B46" s="19"/>
      <c r="C46" s="19"/>
      <c r="D46" s="111"/>
      <c r="E46" s="19"/>
      <c r="F46" s="19"/>
      <c r="G46" s="19"/>
      <c r="H46" s="19"/>
      <c r="I46" s="19"/>
      <c r="J46" s="19"/>
      <c r="Y46" s="17">
        <f>IF($Y$45&lt;90,$Y$45,IF($Y$45="ERR",$Z$25,90))</f>
        <v>0</v>
      </c>
      <c r="Z46" s="17" t="e">
        <f>IF(#REF!=$L$26,"ERR",$Y$46)</f>
        <v>#REF!</v>
      </c>
      <c r="AW46" s="298" t="s">
        <v>1029</v>
      </c>
      <c r="AX46" s="298">
        <v>5</v>
      </c>
      <c r="AY46" s="298"/>
      <c r="AZ46" s="298"/>
      <c r="BA46" s="298"/>
      <c r="BB46" s="298"/>
    </row>
    <row r="47" spans="1:54" ht="15.75" customHeight="1" hidden="1">
      <c r="A47" s="19"/>
      <c r="B47" s="19"/>
      <c r="C47" s="19"/>
      <c r="D47" s="111"/>
      <c r="E47" s="19"/>
      <c r="F47" s="19"/>
      <c r="G47" s="19"/>
      <c r="H47" s="19"/>
      <c r="I47" s="19"/>
      <c r="J47" s="19"/>
      <c r="AW47" s="298" t="s">
        <v>1030</v>
      </c>
      <c r="AX47" s="298">
        <v>5</v>
      </c>
      <c r="AY47" s="298"/>
      <c r="AZ47" s="298"/>
      <c r="BA47" s="298"/>
      <c r="BB47" s="298"/>
    </row>
    <row r="48" spans="1:54" ht="15.75" customHeight="1" hidden="1">
      <c r="A48" s="19"/>
      <c r="B48" s="19"/>
      <c r="C48" s="19"/>
      <c r="D48" s="111"/>
      <c r="E48" s="19"/>
      <c r="F48" s="19"/>
      <c r="G48" s="19"/>
      <c r="H48" s="19"/>
      <c r="I48" s="19"/>
      <c r="J48" s="19"/>
      <c r="AW48" s="298" t="s">
        <v>1031</v>
      </c>
      <c r="AX48" s="298">
        <v>5</v>
      </c>
      <c r="AY48" s="298"/>
      <c r="AZ48" s="298"/>
      <c r="BA48" s="298"/>
      <c r="BB48" s="298"/>
    </row>
    <row r="49" spans="1:54" ht="15.75" customHeight="1" hidden="1">
      <c r="A49" s="19"/>
      <c r="B49" s="19"/>
      <c r="C49" s="19"/>
      <c r="D49" s="111"/>
      <c r="E49" s="19"/>
      <c r="F49" s="19"/>
      <c r="G49" s="19"/>
      <c r="H49" s="19"/>
      <c r="I49" s="19"/>
      <c r="J49" s="19"/>
      <c r="AW49" s="298" t="s">
        <v>1032</v>
      </c>
      <c r="AX49" s="298">
        <v>5</v>
      </c>
      <c r="AY49" s="298"/>
      <c r="AZ49" s="298"/>
      <c r="BA49" s="298"/>
      <c r="BB49" s="298"/>
    </row>
    <row r="50" spans="1:54" ht="15.75" customHeight="1" hidden="1">
      <c r="A50" s="19"/>
      <c r="B50" s="19"/>
      <c r="C50" s="19"/>
      <c r="D50" s="111"/>
      <c r="E50" s="19"/>
      <c r="F50" s="19"/>
      <c r="G50" s="19"/>
      <c r="H50" s="19"/>
      <c r="I50" s="19"/>
      <c r="J50" s="19"/>
      <c r="AW50" s="298"/>
      <c r="AX50" s="298"/>
      <c r="AY50" s="298"/>
      <c r="AZ50" s="298"/>
      <c r="BA50" s="298"/>
      <c r="BB50" s="298"/>
    </row>
    <row r="51" spans="1:54" ht="15.75" customHeight="1" hidden="1">
      <c r="A51" s="19"/>
      <c r="B51" s="19"/>
      <c r="C51" s="19"/>
      <c r="D51" s="111"/>
      <c r="E51" s="19"/>
      <c r="F51" s="19"/>
      <c r="G51" s="19"/>
      <c r="H51" s="19"/>
      <c r="I51" s="19"/>
      <c r="J51" s="19"/>
      <c r="AW51" s="314"/>
      <c r="AX51" s="298"/>
      <c r="AY51" s="298"/>
      <c r="AZ51" s="298"/>
      <c r="BA51" s="298"/>
      <c r="BB51" s="298"/>
    </row>
    <row r="52" spans="1:54" ht="15.75" customHeight="1" hidden="1">
      <c r="A52" s="19"/>
      <c r="B52" s="19"/>
      <c r="C52" s="19"/>
      <c r="D52" s="111"/>
      <c r="E52" s="19"/>
      <c r="F52" s="19"/>
      <c r="G52" s="19"/>
      <c r="H52" s="19"/>
      <c r="I52" s="19"/>
      <c r="J52" s="19"/>
      <c r="BB52" s="298"/>
    </row>
    <row r="53" spans="1:10" ht="15.75" customHeight="1" hidden="1">
      <c r="A53" s="19"/>
      <c r="B53" s="19"/>
      <c r="C53" s="19"/>
      <c r="D53" s="111"/>
      <c r="E53" s="19"/>
      <c r="F53" s="19"/>
      <c r="G53" s="19"/>
      <c r="H53" s="19"/>
      <c r="I53" s="19"/>
      <c r="J53" s="19"/>
    </row>
    <row r="54" spans="1:10" ht="15.75" customHeight="1" hidden="1">
      <c r="A54" s="19"/>
      <c r="B54" s="19"/>
      <c r="C54" s="19"/>
      <c r="D54" s="111"/>
      <c r="E54" s="19"/>
      <c r="F54" s="19"/>
      <c r="G54" s="19">
        <v>1</v>
      </c>
      <c r="H54" s="19"/>
      <c r="I54" s="19"/>
      <c r="J54" s="19"/>
    </row>
    <row r="55" spans="1:10" ht="15.75" customHeight="1" hidden="1">
      <c r="A55" s="19"/>
      <c r="B55" s="19"/>
      <c r="C55" s="19"/>
      <c r="D55" s="111"/>
      <c r="E55" s="19"/>
      <c r="F55" s="19"/>
      <c r="G55" s="19"/>
      <c r="H55" s="19"/>
      <c r="I55" s="19"/>
      <c r="J55" s="19"/>
    </row>
    <row r="56" spans="1:10" ht="15.75" customHeight="1" hidden="1">
      <c r="A56" s="19"/>
      <c r="B56" s="19"/>
      <c r="C56" s="19"/>
      <c r="D56" s="111"/>
      <c r="E56" s="19"/>
      <c r="F56" s="19"/>
      <c r="G56" s="19"/>
      <c r="H56" s="19"/>
      <c r="I56" s="19"/>
      <c r="J56" s="19"/>
    </row>
    <row r="57" spans="1:247" ht="15.75" customHeight="1" hidden="1">
      <c r="A57" s="19"/>
      <c r="B57" s="19"/>
      <c r="C57" s="19"/>
      <c r="D57" s="111"/>
      <c r="E57" s="19"/>
      <c r="F57" s="19"/>
      <c r="G57" s="19"/>
      <c r="H57" s="19"/>
      <c r="I57" s="19"/>
      <c r="J57" s="19"/>
      <c r="K57" s="17" t="s">
        <v>605</v>
      </c>
      <c r="L57" s="17" t="s">
        <v>605</v>
      </c>
      <c r="M57" s="17" t="s">
        <v>605</v>
      </c>
      <c r="N57" s="17" t="s">
        <v>605</v>
      </c>
      <c r="O57" s="17" t="s">
        <v>605</v>
      </c>
      <c r="P57" s="17" t="s">
        <v>605</v>
      </c>
      <c r="Q57" s="17" t="s">
        <v>605</v>
      </c>
      <c r="R57" s="17" t="s">
        <v>605</v>
      </c>
      <c r="S57" s="17" t="s">
        <v>605</v>
      </c>
      <c r="T57" s="17" t="s">
        <v>605</v>
      </c>
      <c r="U57" s="17" t="s">
        <v>605</v>
      </c>
      <c r="V57" s="17" t="s">
        <v>605</v>
      </c>
      <c r="W57" s="17" t="s">
        <v>605</v>
      </c>
      <c r="X57" s="17" t="s">
        <v>605</v>
      </c>
      <c r="Y57" s="17" t="s">
        <v>605</v>
      </c>
      <c r="Z57" s="17" t="s">
        <v>605</v>
      </c>
      <c r="AA57" s="17" t="s">
        <v>605</v>
      </c>
      <c r="AB57" s="17" t="s">
        <v>605</v>
      </c>
      <c r="AC57" s="17" t="s">
        <v>605</v>
      </c>
      <c r="AD57" s="17" t="s">
        <v>605</v>
      </c>
      <c r="AE57" s="17" t="s">
        <v>605</v>
      </c>
      <c r="AF57" s="17" t="s">
        <v>605</v>
      </c>
      <c r="AG57" s="17" t="s">
        <v>605</v>
      </c>
      <c r="AH57" s="19" t="s">
        <v>605</v>
      </c>
      <c r="AI57" s="17" t="s">
        <v>605</v>
      </c>
      <c r="AJ57" s="17" t="s">
        <v>605</v>
      </c>
      <c r="AK57" s="17" t="s">
        <v>605</v>
      </c>
      <c r="AL57" s="17" t="s">
        <v>605</v>
      </c>
      <c r="AM57" s="17" t="s">
        <v>605</v>
      </c>
      <c r="AN57" s="17" t="s">
        <v>605</v>
      </c>
      <c r="AO57" s="17" t="s">
        <v>605</v>
      </c>
      <c r="AP57" s="17" t="s">
        <v>605</v>
      </c>
      <c r="AQ57" s="17" t="s">
        <v>605</v>
      </c>
      <c r="AR57" s="17" t="s">
        <v>605</v>
      </c>
      <c r="AS57" s="17" t="s">
        <v>605</v>
      </c>
      <c r="AV57" s="17" t="s">
        <v>605</v>
      </c>
      <c r="BC57" s="17" t="s">
        <v>605</v>
      </c>
      <c r="BD57" s="17" t="s">
        <v>605</v>
      </c>
      <c r="BI57" s="17" t="s">
        <v>605</v>
      </c>
      <c r="BJ57" s="17" t="s">
        <v>605</v>
      </c>
      <c r="BK57" s="17" t="s">
        <v>605</v>
      </c>
      <c r="BL57" s="17" t="s">
        <v>605</v>
      </c>
      <c r="BM57" s="17" t="s">
        <v>605</v>
      </c>
      <c r="BN57" s="17" t="s">
        <v>605</v>
      </c>
      <c r="BO57" s="17" t="s">
        <v>605</v>
      </c>
      <c r="BP57" s="17" t="s">
        <v>605</v>
      </c>
      <c r="BQ57" s="17" t="s">
        <v>605</v>
      </c>
      <c r="BR57" s="17" t="s">
        <v>605</v>
      </c>
      <c r="BS57" s="17" t="s">
        <v>605</v>
      </c>
      <c r="BT57" s="17" t="s">
        <v>605</v>
      </c>
      <c r="BU57" s="17" t="s">
        <v>605</v>
      </c>
      <c r="BV57" s="17" t="s">
        <v>605</v>
      </c>
      <c r="BW57" s="17" t="s">
        <v>605</v>
      </c>
      <c r="BX57" s="17" t="s">
        <v>605</v>
      </c>
      <c r="BY57" s="17" t="s">
        <v>605</v>
      </c>
      <c r="BZ57" s="17" t="s">
        <v>605</v>
      </c>
      <c r="CA57" s="17" t="s">
        <v>605</v>
      </c>
      <c r="CB57" s="17" t="s">
        <v>605</v>
      </c>
      <c r="CC57" s="17" t="s">
        <v>605</v>
      </c>
      <c r="CD57" s="17" t="s">
        <v>605</v>
      </c>
      <c r="CE57" s="17" t="s">
        <v>605</v>
      </c>
      <c r="CF57" s="17" t="s">
        <v>605</v>
      </c>
      <c r="CG57" s="17" t="s">
        <v>605</v>
      </c>
      <c r="CH57" s="17" t="s">
        <v>605</v>
      </c>
      <c r="CI57" s="17" t="s">
        <v>605</v>
      </c>
      <c r="CJ57" s="17" t="s">
        <v>605</v>
      </c>
      <c r="CK57" s="17" t="s">
        <v>605</v>
      </c>
      <c r="CL57" s="17" t="s">
        <v>605</v>
      </c>
      <c r="CM57" s="17" t="s">
        <v>605</v>
      </c>
      <c r="CN57" s="17" t="s">
        <v>605</v>
      </c>
      <c r="CO57" s="17" t="s">
        <v>605</v>
      </c>
      <c r="CP57" s="17" t="s">
        <v>605</v>
      </c>
      <c r="CQ57" s="17" t="s">
        <v>605</v>
      </c>
      <c r="CR57" s="17" t="s">
        <v>605</v>
      </c>
      <c r="CS57" s="17" t="s">
        <v>605</v>
      </c>
      <c r="CT57" s="17" t="s">
        <v>605</v>
      </c>
      <c r="CU57" s="17" t="s">
        <v>605</v>
      </c>
      <c r="CV57" s="17" t="s">
        <v>605</v>
      </c>
      <c r="CW57" s="17" t="s">
        <v>605</v>
      </c>
      <c r="CX57" s="17" t="s">
        <v>605</v>
      </c>
      <c r="CY57" s="17" t="s">
        <v>605</v>
      </c>
      <c r="CZ57" s="17" t="s">
        <v>605</v>
      </c>
      <c r="DA57" s="17" t="s">
        <v>605</v>
      </c>
      <c r="DB57" s="17" t="s">
        <v>605</v>
      </c>
      <c r="DC57" s="17" t="s">
        <v>605</v>
      </c>
      <c r="DD57" s="17" t="s">
        <v>605</v>
      </c>
      <c r="DE57" s="17" t="s">
        <v>605</v>
      </c>
      <c r="DF57" s="17" t="s">
        <v>605</v>
      </c>
      <c r="DG57" s="17" t="s">
        <v>605</v>
      </c>
      <c r="DH57" s="17" t="s">
        <v>605</v>
      </c>
      <c r="DI57" s="17" t="s">
        <v>605</v>
      </c>
      <c r="DJ57" s="17" t="s">
        <v>605</v>
      </c>
      <c r="DK57" s="17" t="s">
        <v>605</v>
      </c>
      <c r="DL57" s="17" t="s">
        <v>605</v>
      </c>
      <c r="DM57" s="17" t="s">
        <v>605</v>
      </c>
      <c r="DN57" s="17" t="s">
        <v>605</v>
      </c>
      <c r="DO57" s="17" t="s">
        <v>605</v>
      </c>
      <c r="DP57" s="17" t="s">
        <v>605</v>
      </c>
      <c r="DQ57" s="17" t="s">
        <v>605</v>
      </c>
      <c r="DR57" s="17" t="s">
        <v>605</v>
      </c>
      <c r="DS57" s="17" t="s">
        <v>605</v>
      </c>
      <c r="DT57" s="17" t="s">
        <v>605</v>
      </c>
      <c r="DU57" s="17" t="s">
        <v>605</v>
      </c>
      <c r="DV57" s="17" t="s">
        <v>605</v>
      </c>
      <c r="DW57" s="17" t="s">
        <v>605</v>
      </c>
      <c r="DX57" s="17" t="s">
        <v>605</v>
      </c>
      <c r="DY57" s="17" t="s">
        <v>605</v>
      </c>
      <c r="DZ57" s="17" t="s">
        <v>605</v>
      </c>
      <c r="EA57" s="17" t="s">
        <v>605</v>
      </c>
      <c r="EB57" s="17" t="s">
        <v>605</v>
      </c>
      <c r="EC57" s="17" t="s">
        <v>605</v>
      </c>
      <c r="ED57" s="17" t="s">
        <v>605</v>
      </c>
      <c r="EE57" s="17" t="s">
        <v>605</v>
      </c>
      <c r="EF57" s="17" t="s">
        <v>605</v>
      </c>
      <c r="EG57" s="17" t="s">
        <v>605</v>
      </c>
      <c r="EH57" s="17" t="s">
        <v>605</v>
      </c>
      <c r="EI57" s="17" t="s">
        <v>605</v>
      </c>
      <c r="EJ57" s="17" t="s">
        <v>605</v>
      </c>
      <c r="EK57" s="17" t="s">
        <v>605</v>
      </c>
      <c r="EL57" s="17" t="s">
        <v>605</v>
      </c>
      <c r="EM57" s="17" t="s">
        <v>605</v>
      </c>
      <c r="EN57" s="17" t="s">
        <v>605</v>
      </c>
      <c r="EO57" s="17" t="s">
        <v>605</v>
      </c>
      <c r="EP57" s="17" t="s">
        <v>605</v>
      </c>
      <c r="EQ57" s="17" t="s">
        <v>605</v>
      </c>
      <c r="ER57" s="17" t="s">
        <v>605</v>
      </c>
      <c r="ES57" s="17" t="s">
        <v>605</v>
      </c>
      <c r="ET57" s="17" t="s">
        <v>605</v>
      </c>
      <c r="EU57" s="17" t="s">
        <v>605</v>
      </c>
      <c r="EV57" s="17" t="s">
        <v>605</v>
      </c>
      <c r="EW57" s="17" t="s">
        <v>605</v>
      </c>
      <c r="EX57" s="17" t="s">
        <v>605</v>
      </c>
      <c r="EY57" s="17" t="s">
        <v>605</v>
      </c>
      <c r="EZ57" s="17" t="s">
        <v>605</v>
      </c>
      <c r="FA57" s="17" t="s">
        <v>605</v>
      </c>
      <c r="FB57" s="17" t="s">
        <v>605</v>
      </c>
      <c r="FC57" s="17" t="s">
        <v>605</v>
      </c>
      <c r="FD57" s="17" t="s">
        <v>605</v>
      </c>
      <c r="FE57" s="17" t="s">
        <v>605</v>
      </c>
      <c r="FF57" s="17" t="s">
        <v>605</v>
      </c>
      <c r="FG57" s="17" t="s">
        <v>605</v>
      </c>
      <c r="FH57" s="17" t="s">
        <v>605</v>
      </c>
      <c r="FI57" s="17" t="s">
        <v>605</v>
      </c>
      <c r="FJ57" s="17" t="s">
        <v>605</v>
      </c>
      <c r="FK57" s="17" t="s">
        <v>605</v>
      </c>
      <c r="FL57" s="17" t="s">
        <v>605</v>
      </c>
      <c r="FM57" s="17" t="s">
        <v>605</v>
      </c>
      <c r="FN57" s="17" t="s">
        <v>605</v>
      </c>
      <c r="FO57" s="17" t="s">
        <v>605</v>
      </c>
      <c r="FP57" s="17" t="s">
        <v>605</v>
      </c>
      <c r="FQ57" s="17" t="s">
        <v>605</v>
      </c>
      <c r="FR57" s="17" t="s">
        <v>605</v>
      </c>
      <c r="FS57" s="17" t="s">
        <v>605</v>
      </c>
      <c r="FT57" s="17" t="s">
        <v>605</v>
      </c>
      <c r="FU57" s="17" t="s">
        <v>605</v>
      </c>
      <c r="FV57" s="17" t="s">
        <v>605</v>
      </c>
      <c r="FW57" s="17" t="s">
        <v>605</v>
      </c>
      <c r="FX57" s="17" t="s">
        <v>605</v>
      </c>
      <c r="FY57" s="17" t="s">
        <v>605</v>
      </c>
      <c r="FZ57" s="17" t="s">
        <v>605</v>
      </c>
      <c r="GA57" s="17" t="s">
        <v>605</v>
      </c>
      <c r="GB57" s="17" t="s">
        <v>605</v>
      </c>
      <c r="GC57" s="17" t="s">
        <v>605</v>
      </c>
      <c r="GD57" s="17" t="s">
        <v>605</v>
      </c>
      <c r="GE57" s="17" t="s">
        <v>605</v>
      </c>
      <c r="GF57" s="17" t="s">
        <v>605</v>
      </c>
      <c r="GG57" s="17" t="s">
        <v>605</v>
      </c>
      <c r="GH57" s="17" t="s">
        <v>605</v>
      </c>
      <c r="GI57" s="17" t="s">
        <v>605</v>
      </c>
      <c r="GJ57" s="17" t="s">
        <v>605</v>
      </c>
      <c r="GK57" s="17" t="s">
        <v>605</v>
      </c>
      <c r="GL57" s="17" t="s">
        <v>605</v>
      </c>
      <c r="GM57" s="17" t="s">
        <v>605</v>
      </c>
      <c r="GN57" s="17" t="s">
        <v>605</v>
      </c>
      <c r="GO57" s="17" t="s">
        <v>605</v>
      </c>
      <c r="GP57" s="17" t="s">
        <v>605</v>
      </c>
      <c r="GQ57" s="17" t="s">
        <v>605</v>
      </c>
      <c r="GR57" s="17" t="s">
        <v>605</v>
      </c>
      <c r="GS57" s="17" t="s">
        <v>605</v>
      </c>
      <c r="GT57" s="17" t="s">
        <v>605</v>
      </c>
      <c r="GU57" s="17" t="s">
        <v>605</v>
      </c>
      <c r="GV57" s="17" t="s">
        <v>605</v>
      </c>
      <c r="GW57" s="17" t="s">
        <v>605</v>
      </c>
      <c r="GX57" s="17" t="s">
        <v>605</v>
      </c>
      <c r="GY57" s="17" t="s">
        <v>605</v>
      </c>
      <c r="GZ57" s="17" t="s">
        <v>605</v>
      </c>
      <c r="HA57" s="17" t="s">
        <v>605</v>
      </c>
      <c r="HB57" s="17" t="s">
        <v>605</v>
      </c>
      <c r="HC57" s="17" t="s">
        <v>605</v>
      </c>
      <c r="HD57" s="17" t="s">
        <v>605</v>
      </c>
      <c r="HE57" s="17" t="s">
        <v>605</v>
      </c>
      <c r="HF57" s="17" t="s">
        <v>605</v>
      </c>
      <c r="HG57" s="17" t="s">
        <v>605</v>
      </c>
      <c r="HH57" s="17" t="s">
        <v>605</v>
      </c>
      <c r="HI57" s="17" t="s">
        <v>605</v>
      </c>
      <c r="HJ57" s="17" t="s">
        <v>605</v>
      </c>
      <c r="HK57" s="17" t="s">
        <v>605</v>
      </c>
      <c r="HL57" s="17" t="s">
        <v>605</v>
      </c>
      <c r="HM57" s="17" t="s">
        <v>605</v>
      </c>
      <c r="HN57" s="17" t="s">
        <v>605</v>
      </c>
      <c r="HO57" s="17" t="s">
        <v>605</v>
      </c>
      <c r="HP57" s="17" t="s">
        <v>605</v>
      </c>
      <c r="HQ57" s="17" t="s">
        <v>605</v>
      </c>
      <c r="HR57" s="17" t="s">
        <v>605</v>
      </c>
      <c r="HS57" s="17" t="s">
        <v>605</v>
      </c>
      <c r="HT57" s="17" t="s">
        <v>605</v>
      </c>
      <c r="HU57" s="17" t="s">
        <v>605</v>
      </c>
      <c r="HV57" s="17" t="s">
        <v>605</v>
      </c>
      <c r="HW57" s="17" t="s">
        <v>605</v>
      </c>
      <c r="HX57" s="17" t="s">
        <v>605</v>
      </c>
      <c r="HY57" s="17" t="s">
        <v>605</v>
      </c>
      <c r="HZ57" s="17" t="s">
        <v>605</v>
      </c>
      <c r="IA57" s="17" t="s">
        <v>605</v>
      </c>
      <c r="IB57" s="17" t="s">
        <v>605</v>
      </c>
      <c r="IC57" s="17" t="s">
        <v>605</v>
      </c>
      <c r="ID57" s="17" t="s">
        <v>605</v>
      </c>
      <c r="IE57" s="17" t="s">
        <v>605</v>
      </c>
      <c r="IF57" s="17" t="s">
        <v>605</v>
      </c>
      <c r="IG57" s="17" t="s">
        <v>605</v>
      </c>
      <c r="IH57" s="17" t="s">
        <v>605</v>
      </c>
      <c r="II57" s="17" t="s">
        <v>605</v>
      </c>
      <c r="IJ57" s="17" t="s">
        <v>605</v>
      </c>
      <c r="IK57" s="17" t="s">
        <v>605</v>
      </c>
      <c r="IL57" s="17" t="s">
        <v>605</v>
      </c>
      <c r="IM57" s="17" t="s">
        <v>605</v>
      </c>
    </row>
    <row r="58" spans="1:10" ht="15.75" customHeight="1" hidden="1">
      <c r="A58" s="19"/>
      <c r="B58" s="19"/>
      <c r="C58" s="19"/>
      <c r="D58" s="111"/>
      <c r="E58" s="19"/>
      <c r="F58" s="19"/>
      <c r="G58" s="19"/>
      <c r="H58" s="19"/>
      <c r="I58" s="19"/>
      <c r="J58" s="19"/>
    </row>
    <row r="59" spans="1:10" ht="15.75" customHeight="1" hidden="1">
      <c r="A59" s="19"/>
      <c r="B59" s="19"/>
      <c r="C59" s="19"/>
      <c r="D59" s="111"/>
      <c r="E59" s="19"/>
      <c r="F59" s="19"/>
      <c r="G59" s="19"/>
      <c r="H59" s="19"/>
      <c r="I59" s="19"/>
      <c r="J59" s="19"/>
    </row>
    <row r="60" spans="1:10" ht="15.75" customHeight="1" hidden="1">
      <c r="A60" s="19"/>
      <c r="B60" s="19"/>
      <c r="C60" s="19"/>
      <c r="D60" s="111"/>
      <c r="E60" s="19"/>
      <c r="F60" s="19"/>
      <c r="G60" s="19"/>
      <c r="H60" s="19"/>
      <c r="I60" s="19"/>
      <c r="J60" s="19"/>
    </row>
    <row r="61" spans="1:10" ht="15.75" customHeight="1" hidden="1">
      <c r="A61" s="19"/>
      <c r="B61" s="19"/>
      <c r="C61" s="19"/>
      <c r="D61" s="111"/>
      <c r="E61" s="19"/>
      <c r="F61" s="19"/>
      <c r="G61" s="19"/>
      <c r="H61" s="19"/>
      <c r="I61" s="19"/>
      <c r="J61" s="19"/>
    </row>
    <row r="62" spans="1:10" ht="15.75" customHeight="1" hidden="1">
      <c r="A62" s="19"/>
      <c r="B62" s="19"/>
      <c r="C62" s="19"/>
      <c r="D62" s="111"/>
      <c r="E62" s="19"/>
      <c r="F62" s="19"/>
      <c r="G62" s="19"/>
      <c r="H62" s="19"/>
      <c r="I62" s="19"/>
      <c r="J62" s="19"/>
    </row>
    <row r="63" spans="1:53" ht="15.75" customHeight="1" hidden="1">
      <c r="A63" s="19"/>
      <c r="B63" s="19"/>
      <c r="C63" s="19"/>
      <c r="D63" s="111"/>
      <c r="E63" s="19"/>
      <c r="F63" s="19"/>
      <c r="G63" s="19"/>
      <c r="H63" s="19"/>
      <c r="I63" s="19"/>
      <c r="J63" s="19"/>
      <c r="AW63" s="17" t="s">
        <v>605</v>
      </c>
      <c r="AX63" s="17" t="s">
        <v>605</v>
      </c>
      <c r="AY63" s="17" t="s">
        <v>605</v>
      </c>
      <c r="AZ63" s="17" t="s">
        <v>605</v>
      </c>
      <c r="BA63" s="17" t="s">
        <v>605</v>
      </c>
    </row>
    <row r="64" spans="1:54" ht="15.75" customHeight="1" hidden="1">
      <c r="A64" s="19"/>
      <c r="B64" s="19"/>
      <c r="C64" s="19"/>
      <c r="D64" s="111"/>
      <c r="E64" s="19"/>
      <c r="F64" s="19"/>
      <c r="G64" s="19"/>
      <c r="H64" s="19"/>
      <c r="I64" s="19"/>
      <c r="J64" s="19"/>
      <c r="BB64" s="17" t="s">
        <v>605</v>
      </c>
    </row>
    <row r="65" spans="1:10" ht="15.75" customHeight="1" hidden="1">
      <c r="A65" s="19"/>
      <c r="B65" s="19"/>
      <c r="C65" s="19"/>
      <c r="D65" s="111"/>
      <c r="E65" s="19"/>
      <c r="F65" s="19"/>
      <c r="G65" s="19"/>
      <c r="H65" s="19"/>
      <c r="I65" s="19"/>
      <c r="J65" s="19"/>
    </row>
    <row r="66" spans="1:10" ht="15.75" customHeight="1" hidden="1">
      <c r="A66" s="19"/>
      <c r="B66" s="19"/>
      <c r="C66" s="19"/>
      <c r="D66" s="111"/>
      <c r="E66" s="19"/>
      <c r="F66" s="19"/>
      <c r="G66" s="19"/>
      <c r="H66" s="19"/>
      <c r="I66" s="19"/>
      <c r="J66" s="19"/>
    </row>
    <row r="67" spans="1:10" ht="15.75" customHeight="1" hidden="1">
      <c r="A67" s="19"/>
      <c r="B67" s="19"/>
      <c r="C67" s="19"/>
      <c r="D67" s="111"/>
      <c r="E67" s="19"/>
      <c r="F67" s="19"/>
      <c r="G67" s="19"/>
      <c r="H67" s="19"/>
      <c r="I67" s="19"/>
      <c r="J67" s="19"/>
    </row>
    <row r="68" spans="1:10" ht="15.75" customHeight="1" hidden="1">
      <c r="A68" s="19"/>
      <c r="B68" s="19"/>
      <c r="C68" s="19"/>
      <c r="D68" s="111"/>
      <c r="E68" s="19"/>
      <c r="F68" s="19"/>
      <c r="G68" s="19"/>
      <c r="H68" s="19"/>
      <c r="I68" s="19"/>
      <c r="J68" s="19"/>
    </row>
    <row r="69" ht="15.75" customHeight="1" hidden="1"/>
    <row r="70" ht="15.75" customHeight="1" hidden="1"/>
    <row r="71" ht="15.75" customHeight="1" hidden="1"/>
    <row r="72" ht="15.75" customHeight="1" hidden="1"/>
    <row r="73" ht="15.75" customHeight="1" hidden="1"/>
    <row r="74" ht="15.75" customHeight="1" hidden="1"/>
    <row r="75" ht="15.75" customHeight="1" hidden="1"/>
    <row r="76" ht="15.75" customHeight="1" hidden="1"/>
    <row r="77" ht="15.75" customHeight="1" hidden="1"/>
    <row r="78" ht="15.75" customHeight="1" hidden="1"/>
    <row r="79" spans="6:10" ht="15.75" customHeight="1" hidden="1">
      <c r="F79" s="112"/>
      <c r="G79" s="112"/>
      <c r="H79" s="112"/>
      <c r="I79" s="112"/>
      <c r="J79" s="112"/>
    </row>
    <row r="80" ht="15.75" customHeight="1" hidden="1"/>
    <row r="81" ht="15.75" customHeight="1" hidden="1"/>
    <row r="82" ht="15.75" customHeight="1" hidden="1"/>
    <row r="83" ht="15.75" customHeight="1" hidden="1"/>
    <row r="84" ht="15.75" customHeight="1" hidden="1"/>
    <row r="85" ht="15.75" customHeight="1" hidden="1"/>
    <row r="86" ht="15.75" customHeight="1" hidden="1"/>
    <row r="87" ht="15.75" customHeight="1" hidden="1"/>
    <row r="88" ht="15.75" customHeight="1" hidden="1"/>
    <row r="89" ht="15.75" customHeight="1" hidden="1"/>
  </sheetData>
  <sheetProtection password="9D8A" sheet="1" selectLockedCells="1"/>
  <mergeCells count="40">
    <mergeCell ref="F43:G43"/>
    <mergeCell ref="G9:J9"/>
    <mergeCell ref="A10:B10"/>
    <mergeCell ref="G16:H16"/>
    <mergeCell ref="I16:J16"/>
    <mergeCell ref="B19:F19"/>
    <mergeCell ref="B31:F31"/>
    <mergeCell ref="B42:J42"/>
    <mergeCell ref="I10:J10"/>
    <mergeCell ref="G17:H17"/>
    <mergeCell ref="AW11:BB11"/>
    <mergeCell ref="BE11:BH11"/>
    <mergeCell ref="B41:J41"/>
    <mergeCell ref="B33:F33"/>
    <mergeCell ref="A25:E25"/>
    <mergeCell ref="A35:E35"/>
    <mergeCell ref="B28:F28"/>
    <mergeCell ref="B12:E12"/>
    <mergeCell ref="F13:J13"/>
    <mergeCell ref="F14:J14"/>
    <mergeCell ref="I11:J11"/>
    <mergeCell ref="B11:E11"/>
    <mergeCell ref="B32:F32"/>
    <mergeCell ref="B39:J39"/>
    <mergeCell ref="F12:J12"/>
    <mergeCell ref="B20:F20"/>
    <mergeCell ref="B30:F30"/>
    <mergeCell ref="B22:F22"/>
    <mergeCell ref="I17:J17"/>
    <mergeCell ref="B13:E13"/>
    <mergeCell ref="I43:J43"/>
    <mergeCell ref="B14:E14"/>
    <mergeCell ref="B40:J40"/>
    <mergeCell ref="B23:F23"/>
    <mergeCell ref="B38:J38"/>
    <mergeCell ref="I35:J35"/>
    <mergeCell ref="I25:J25"/>
    <mergeCell ref="A16:B16"/>
    <mergeCell ref="B21:F21"/>
    <mergeCell ref="B29:F29"/>
  </mergeCells>
  <dataValidations count="8">
    <dataValidation type="whole" allowBlank="1" showInputMessage="1" showErrorMessage="1" error="Must Enter a Numerical Value!" sqref="F26">
      <formula1>0</formula1>
      <formula2>200</formula2>
    </dataValidation>
    <dataValidation type="whole" allowBlank="1" showInputMessage="1" showErrorMessage="1" error="Must Enter a Numerical Value." sqref="C17">
      <formula1>0</formula1>
      <formula2>100</formula2>
    </dataValidation>
    <dataValidation allowBlank="1" showInputMessage="1" showErrorMessage="1" error="Must Enter a Numerical Value." sqref="C18"/>
    <dataValidation type="textLength" allowBlank="1" showInputMessage="1" showErrorMessage="1" sqref="G19:J23 G28:J33">
      <formula1>1</formula1>
      <formula2>1</formula2>
    </dataValidation>
    <dataValidation type="list" showInputMessage="1" showErrorMessage="1" prompt="Select Office from List&#10;" sqref="B13:B14">
      <formula1>$AH$10:$AH$33</formula1>
    </dataValidation>
    <dataValidation type="list" allowBlank="1" showInputMessage="1" showErrorMessage="1" prompt="Select Office from List&#10;" sqref="B12:E12">
      <formula1>$AH$10:$AH$33</formula1>
    </dataValidation>
    <dataValidation type="list" allowBlank="1" showInputMessage="1" prompt="Select committee or type in other Non-POA, or BOAC.  &#10;" sqref="B19:F23">
      <formula1>$BE$14:$BE$32</formula1>
    </dataValidation>
    <dataValidation type="list" allowBlank="1" showInputMessage="1" showErrorMessage="1" prompt="Select CDE/LDE" error="This table does not allow user entry.  Please select a CDE/LDE from the list provided." sqref="B28:F33">
      <formula1>$AW$13:$AW$51</formula1>
    </dataValidation>
  </dataValidations>
  <printOptions horizontalCentered="1" verticalCentered="1"/>
  <pageMargins left="0.25" right="0.25" top="0.45" bottom="0.25" header="0" footer="0"/>
  <pageSetup fitToHeight="1" fitToWidth="1"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MO_FFA_State_Degree_Application_11</dc:title>
  <dc:subject>State Degree Application</dc:subject>
  <dc:creator>kls</dc:creator>
  <cp:keywords>state degree</cp:keywords>
  <dc:description/>
  <cp:lastModifiedBy>Kilmer, Kathy</cp:lastModifiedBy>
  <cp:lastPrinted>2022-10-21T12:30:50Z</cp:lastPrinted>
  <dcterms:created xsi:type="dcterms:W3CDTF">1999-07-09T19:40:24Z</dcterms:created>
  <dcterms:modified xsi:type="dcterms:W3CDTF">2023-09-19T18:12:29Z</dcterms:modified>
  <cp:category/>
  <cp:version/>
  <cp:contentType/>
  <cp:contentStatus/>
</cp:coreProperties>
</file>